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9416" windowHeight="9504" activeTab="0"/>
  </bookViews>
  <sheets>
    <sheet name="количество СМСП" sheetId="1" r:id="rId1"/>
    <sheet name="рабочие места" sheetId="2" r:id="rId2"/>
    <sheet name="оборот товаров, работ, услуг" sheetId="3" r:id="rId3"/>
    <sheet name="фин-во-эк-кое состояние" sheetId="4" r:id="rId4"/>
  </sheets>
  <definedNames/>
  <calcPr fullCalcOnLoad="1" refMode="R1C1"/>
</workbook>
</file>

<file path=xl/comments4.xml><?xml version="1.0" encoding="utf-8"?>
<comments xmlns="http://schemas.openxmlformats.org/spreadsheetml/2006/main">
  <authors>
    <author>KSR-1</author>
  </authors>
  <commentList>
    <comment ref="C8" authorId="0">
      <text>
        <r>
          <rPr>
            <b/>
            <sz val="9"/>
            <rFont val="Tahoma"/>
            <family val="2"/>
          </rPr>
          <t>KSR-1: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<sst xmlns="http://schemas.openxmlformats.org/spreadsheetml/2006/main" count="2881" uniqueCount="58">
  <si>
    <t>Всего</t>
  </si>
  <si>
    <t>Растениеводство, животноводство</t>
  </si>
  <si>
    <t>Лесоводство, лесозаготовки</t>
  </si>
  <si>
    <t>Рыбоводство, рыболовство</t>
  </si>
  <si>
    <t>Обрабатывающие производства</t>
  </si>
  <si>
    <t>Образование</t>
  </si>
  <si>
    <t>Здравоохранение</t>
  </si>
  <si>
    <t>ЮЛ</t>
  </si>
  <si>
    <t>ИП</t>
  </si>
  <si>
    <t>в т.ч.</t>
  </si>
  <si>
    <t>Количество СМСП и их классификация по видам экономической деятельности</t>
  </si>
  <si>
    <t>2019г в % к 2018 г</t>
  </si>
  <si>
    <t>из них</t>
  </si>
  <si>
    <t>Обеспечение эл.э-ей, газом, паром</t>
  </si>
  <si>
    <t>Строительство</t>
  </si>
  <si>
    <t>Профессиональная научная и прочая техническая д-ть</t>
  </si>
  <si>
    <t>Предоставление социальных услуг</t>
  </si>
  <si>
    <t>микро</t>
  </si>
  <si>
    <t>малое</t>
  </si>
  <si>
    <t>среднее</t>
  </si>
  <si>
    <t>-*</t>
  </si>
  <si>
    <t>единиц</t>
  </si>
  <si>
    <t>Торговля оптовая и розничная, ремонт автотранп.ср-в и мотоциклов</t>
  </si>
  <si>
    <t>Деятельность гостиниц</t>
  </si>
  <si>
    <t>Общественное питание</t>
  </si>
  <si>
    <t>Деятельность по операциям с недвижимым имуществом</t>
  </si>
  <si>
    <t>Деятельность административная и сопутствующие доп.услуги</t>
  </si>
  <si>
    <t>Транспортировка и хранение</t>
  </si>
  <si>
    <t>Деятельность в области информатизации и связи</t>
  </si>
  <si>
    <t>Деятельность финансовая и страховая</t>
  </si>
  <si>
    <t>Госуправление и обеспечение военной безопасности, социальное обеспечение</t>
  </si>
  <si>
    <t>Деятельность в обл. культуры, спорта, организация досуга и развлечений</t>
  </si>
  <si>
    <t>Предоставление прочих видов услуг</t>
  </si>
  <si>
    <t>Деятельность домашних хозяйств</t>
  </si>
  <si>
    <t>-* отсутсвует информация, будет заполнено по мере размещения данных в сети Интернет</t>
  </si>
  <si>
    <t>Финансово-экономическое состояние субъектов СМСП</t>
  </si>
  <si>
    <t>Добыча полезных ископаемых</t>
  </si>
  <si>
    <t>Информация о развитии малого и среднего предпринимательства в Чебаркульском городском округе</t>
  </si>
  <si>
    <t>Водоснабжение, водоотведение, организация сбора и утилизация отходов, д-ть по ликвидации загрязнений</t>
  </si>
  <si>
    <t>прибыль</t>
  </si>
  <si>
    <t>убыток</t>
  </si>
  <si>
    <t>к-во предприятий</t>
  </si>
  <si>
    <t>к-во  предприятий</t>
  </si>
  <si>
    <t>2020г в % к 2019 г</t>
  </si>
  <si>
    <t>Д-ть административная и сопутствующие доп.услуги</t>
  </si>
  <si>
    <t>Д-ть в обл. культуры, спорта, организация досуга и развлечений</t>
  </si>
  <si>
    <t>Водоснабжение, водоотведение, орг-ция сбора и утилизация отходов, д-ть по ликвидации загрязнений</t>
  </si>
  <si>
    <t>Оборот товаров (работ, услуг), производимых СМСП в соответствии с их классификацией по видам экономической деятельности*, млн.руб</t>
  </si>
  <si>
    <t>Число замещенных рабочих мест в СМСП в соответствии с их классификацией по видам деятельности, человек</t>
  </si>
  <si>
    <t>всего</t>
  </si>
  <si>
    <t>2021г в % к 2020 г</t>
  </si>
  <si>
    <t>0</t>
  </si>
  <si>
    <t>2022г в % к 2021 г</t>
  </si>
  <si>
    <t>Водоснабжение, водоотведение, сбор и утил-я отходов, ликв. загрязнений</t>
  </si>
  <si>
    <t xml:space="preserve">к-во </t>
  </si>
  <si>
    <t xml:space="preserve">к-во  </t>
  </si>
  <si>
    <t>прибыль 276</t>
  </si>
  <si>
    <t xml:space="preserve">Прибыль, убыток, млн. рублей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</si>
</sst>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6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6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i/>
      <sz val="6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6"/>
      <color theme="1"/>
      <name val="Times New Roman"/>
      <family val="1"/>
    </font>
    <font>
      <b/>
      <sz val="7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>
        <color indexed="63"/>
      </top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96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/>
    </xf>
    <xf numFmtId="0" fontId="62" fillId="0" borderId="0" xfId="0" applyFont="1" applyAlignment="1">
      <alignment wrapText="1"/>
    </xf>
    <xf numFmtId="164" fontId="63" fillId="0" borderId="10" xfId="0" applyNumberFormat="1" applyFont="1" applyFill="1" applyBorder="1" applyAlignment="1">
      <alignment horizontal="center" vertical="top"/>
    </xf>
    <xf numFmtId="1" fontId="63" fillId="0" borderId="10" xfId="0" applyNumberFormat="1" applyFont="1" applyFill="1" applyBorder="1" applyAlignment="1">
      <alignment horizontal="center" vertical="top"/>
    </xf>
    <xf numFmtId="0" fontId="63" fillId="0" borderId="0" xfId="0" applyFont="1" applyAlignment="1">
      <alignment/>
    </xf>
    <xf numFmtId="164" fontId="63" fillId="0" borderId="0" xfId="0" applyNumberFormat="1" applyFont="1" applyAlignment="1">
      <alignment/>
    </xf>
    <xf numFmtId="0" fontId="64" fillId="0" borderId="0" xfId="0" applyFont="1" applyAlignment="1">
      <alignment/>
    </xf>
    <xf numFmtId="0" fontId="65" fillId="0" borderId="11" xfId="0" applyFont="1" applyBorder="1" applyAlignment="1">
      <alignment vertical="top" wrapText="1"/>
    </xf>
    <xf numFmtId="1" fontId="66" fillId="0" borderId="10" xfId="0" applyNumberFormat="1" applyFont="1" applyFill="1" applyBorder="1" applyAlignment="1">
      <alignment horizontal="center" vertical="top"/>
    </xf>
    <xf numFmtId="1" fontId="66" fillId="0" borderId="10" xfId="0" applyNumberFormat="1" applyFont="1" applyFill="1" applyBorder="1" applyAlignment="1">
      <alignment horizontal="center"/>
    </xf>
    <xf numFmtId="49" fontId="66" fillId="0" borderId="12" xfId="0" applyNumberFormat="1" applyFont="1" applyFill="1" applyBorder="1" applyAlignment="1">
      <alignment horizontal="center"/>
    </xf>
    <xf numFmtId="164" fontId="66" fillId="0" borderId="10" xfId="0" applyNumberFormat="1" applyFont="1" applyFill="1" applyBorder="1" applyAlignment="1">
      <alignment horizontal="center" vertical="top"/>
    </xf>
    <xf numFmtId="0" fontId="67" fillId="0" borderId="11" xfId="0" applyFont="1" applyBorder="1" applyAlignment="1">
      <alignment vertical="top" wrapText="1"/>
    </xf>
    <xf numFmtId="0" fontId="63" fillId="0" borderId="10" xfId="0" applyFont="1" applyFill="1" applyBorder="1" applyAlignment="1">
      <alignment horizontal="center" vertical="top"/>
    </xf>
    <xf numFmtId="0" fontId="63" fillId="0" borderId="10" xfId="0" applyFont="1" applyFill="1" applyBorder="1" applyAlignment="1">
      <alignment vertical="top"/>
    </xf>
    <xf numFmtId="49" fontId="63" fillId="0" borderId="13" xfId="0" applyNumberFormat="1" applyFont="1" applyFill="1" applyBorder="1" applyAlignment="1">
      <alignment horizontal="center" vertical="top"/>
    </xf>
    <xf numFmtId="49" fontId="63" fillId="0" borderId="10" xfId="0" applyNumberFormat="1" applyFont="1" applyFill="1" applyBorder="1" applyAlignment="1">
      <alignment horizontal="center" vertical="top"/>
    </xf>
    <xf numFmtId="49" fontId="63" fillId="0" borderId="14" xfId="0" applyNumberFormat="1" applyFont="1" applyFill="1" applyBorder="1" applyAlignment="1">
      <alignment horizontal="center" vertical="top"/>
    </xf>
    <xf numFmtId="49" fontId="66" fillId="0" borderId="10" xfId="0" applyNumberFormat="1" applyFont="1" applyFill="1" applyBorder="1" applyAlignment="1">
      <alignment horizontal="center" vertical="top"/>
    </xf>
    <xf numFmtId="49" fontId="66" fillId="0" borderId="14" xfId="0" applyNumberFormat="1" applyFont="1" applyFill="1" applyBorder="1" applyAlignment="1">
      <alignment horizontal="center" vertical="top"/>
    </xf>
    <xf numFmtId="49" fontId="66" fillId="0" borderId="13" xfId="0" applyNumberFormat="1" applyFont="1" applyFill="1" applyBorder="1" applyAlignment="1">
      <alignment horizontal="center" vertical="top"/>
    </xf>
    <xf numFmtId="0" fontId="63" fillId="0" borderId="14" xfId="0" applyFont="1" applyFill="1" applyBorder="1" applyAlignment="1">
      <alignment vertical="top"/>
    </xf>
    <xf numFmtId="165" fontId="63" fillId="0" borderId="10" xfId="0" applyNumberFormat="1" applyFont="1" applyFill="1" applyBorder="1" applyAlignment="1">
      <alignment horizontal="center" vertical="top"/>
    </xf>
    <xf numFmtId="2" fontId="63" fillId="0" borderId="10" xfId="0" applyNumberFormat="1" applyFont="1" applyFill="1" applyBorder="1" applyAlignment="1">
      <alignment horizontal="center" vertical="top"/>
    </xf>
    <xf numFmtId="49" fontId="66" fillId="0" borderId="12" xfId="0" applyNumberFormat="1" applyFont="1" applyFill="1" applyBorder="1" applyAlignment="1">
      <alignment horizontal="center" vertical="top"/>
    </xf>
    <xf numFmtId="0" fontId="63" fillId="0" borderId="11" xfId="0" applyFont="1" applyBorder="1" applyAlignment="1">
      <alignment vertical="top" wrapText="1"/>
    </xf>
    <xf numFmtId="0" fontId="67" fillId="0" borderId="15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top"/>
    </xf>
    <xf numFmtId="0" fontId="63" fillId="0" borderId="11" xfId="0" applyFont="1" applyBorder="1" applyAlignment="1">
      <alignment horizontal="justify" vertical="top" wrapText="1"/>
    </xf>
    <xf numFmtId="0" fontId="63" fillId="0" borderId="16" xfId="0" applyFont="1" applyFill="1" applyBorder="1" applyAlignment="1">
      <alignment horizontal="center" vertical="top"/>
    </xf>
    <xf numFmtId="0" fontId="63" fillId="0" borderId="16" xfId="0" applyFont="1" applyFill="1" applyBorder="1" applyAlignment="1">
      <alignment vertical="top"/>
    </xf>
    <xf numFmtId="1" fontId="63" fillId="0" borderId="16" xfId="0" applyNumberFormat="1" applyFont="1" applyFill="1" applyBorder="1" applyAlignment="1">
      <alignment horizontal="center" vertical="top"/>
    </xf>
    <xf numFmtId="49" fontId="63" fillId="0" borderId="17" xfId="0" applyNumberFormat="1" applyFont="1" applyFill="1" applyBorder="1" applyAlignment="1">
      <alignment horizontal="center" vertical="top"/>
    </xf>
    <xf numFmtId="49" fontId="63" fillId="0" borderId="16" xfId="0" applyNumberFormat="1" applyFont="1" applyFill="1" applyBorder="1" applyAlignment="1">
      <alignment horizontal="center" vertical="top"/>
    </xf>
    <xf numFmtId="49" fontId="63" fillId="0" borderId="18" xfId="0" applyNumberFormat="1" applyFont="1" applyFill="1" applyBorder="1" applyAlignment="1">
      <alignment horizontal="center" vertical="top"/>
    </xf>
    <xf numFmtId="49" fontId="66" fillId="0" borderId="16" xfId="0" applyNumberFormat="1" applyFont="1" applyFill="1" applyBorder="1" applyAlignment="1">
      <alignment horizontal="center" vertical="top"/>
    </xf>
    <xf numFmtId="49" fontId="66" fillId="0" borderId="18" xfId="0" applyNumberFormat="1" applyFont="1" applyFill="1" applyBorder="1" applyAlignment="1">
      <alignment horizontal="center" vertical="top"/>
    </xf>
    <xf numFmtId="49" fontId="66" fillId="0" borderId="17" xfId="0" applyNumberFormat="1" applyFont="1" applyFill="1" applyBorder="1" applyAlignment="1">
      <alignment horizontal="center" vertical="top"/>
    </xf>
    <xf numFmtId="0" fontId="63" fillId="0" borderId="18" xfId="0" applyFont="1" applyFill="1" applyBorder="1" applyAlignment="1">
      <alignment vertical="top"/>
    </xf>
    <xf numFmtId="165" fontId="63" fillId="0" borderId="16" xfId="0" applyNumberFormat="1" applyFont="1" applyFill="1" applyBorder="1" applyAlignment="1">
      <alignment horizontal="center" vertical="top"/>
    </xf>
    <xf numFmtId="2" fontId="63" fillId="0" borderId="16" xfId="0" applyNumberFormat="1" applyFont="1" applyFill="1" applyBorder="1" applyAlignment="1">
      <alignment horizontal="center" vertical="top"/>
    </xf>
    <xf numFmtId="49" fontId="66" fillId="0" borderId="19" xfId="0" applyNumberFormat="1" applyFont="1" applyFill="1" applyBorder="1" applyAlignment="1">
      <alignment horizontal="center" vertical="top"/>
    </xf>
    <xf numFmtId="0" fontId="63" fillId="0" borderId="0" xfId="0" applyFont="1" applyBorder="1" applyAlignment="1">
      <alignment/>
    </xf>
    <xf numFmtId="0" fontId="68" fillId="0" borderId="11" xfId="0" applyFont="1" applyBorder="1" applyAlignment="1">
      <alignment vertical="top" wrapText="1"/>
    </xf>
    <xf numFmtId="0" fontId="69" fillId="0" borderId="0" xfId="0" applyFont="1" applyAlignment="1">
      <alignment/>
    </xf>
    <xf numFmtId="49" fontId="70" fillId="0" borderId="0" xfId="0" applyNumberFormat="1" applyFont="1" applyFill="1" applyBorder="1" applyAlignment="1">
      <alignment horizontal="left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left"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3" fillId="0" borderId="11" xfId="0" applyFont="1" applyFill="1" applyBorder="1" applyAlignment="1">
      <alignment horizontal="center" wrapText="1"/>
    </xf>
    <xf numFmtId="0" fontId="65" fillId="0" borderId="11" xfId="0" applyFont="1" applyFill="1" applyBorder="1" applyAlignment="1">
      <alignment vertical="top" wrapText="1"/>
    </xf>
    <xf numFmtId="0" fontId="67" fillId="0" borderId="11" xfId="0" applyFont="1" applyFill="1" applyBorder="1" applyAlignment="1">
      <alignment vertical="top" wrapText="1"/>
    </xf>
    <xf numFmtId="0" fontId="63" fillId="0" borderId="11" xfId="0" applyFont="1" applyFill="1" applyBorder="1" applyAlignment="1">
      <alignment vertical="top" wrapText="1"/>
    </xf>
    <xf numFmtId="0" fontId="68" fillId="0" borderId="11" xfId="0" applyFont="1" applyFill="1" applyBorder="1" applyAlignment="1">
      <alignment vertical="top" wrapText="1"/>
    </xf>
    <xf numFmtId="0" fontId="63" fillId="0" borderId="0" xfId="0" applyFont="1" applyFill="1" applyBorder="1" applyAlignment="1">
      <alignment/>
    </xf>
    <xf numFmtId="0" fontId="63" fillId="0" borderId="10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1" fontId="63" fillId="0" borderId="10" xfId="0" applyNumberFormat="1" applyFont="1" applyFill="1" applyBorder="1" applyAlignment="1">
      <alignment horizontal="center"/>
    </xf>
    <xf numFmtId="0" fontId="67" fillId="0" borderId="15" xfId="0" applyFont="1" applyFill="1" applyBorder="1" applyAlignment="1">
      <alignment vertical="top" wrapText="1"/>
    </xf>
    <xf numFmtId="0" fontId="67" fillId="0" borderId="20" xfId="0" applyFont="1" applyFill="1" applyBorder="1" applyAlignment="1">
      <alignment vertical="top" wrapText="1"/>
    </xf>
    <xf numFmtId="0" fontId="63" fillId="0" borderId="11" xfId="0" applyFont="1" applyFill="1" applyBorder="1" applyAlignment="1">
      <alignment horizontal="justify" vertical="top" wrapText="1"/>
    </xf>
    <xf numFmtId="0" fontId="69" fillId="0" borderId="15" xfId="0" applyFont="1" applyBorder="1" applyAlignment="1">
      <alignment horizontal="center" wrapText="1"/>
    </xf>
    <xf numFmtId="0" fontId="69" fillId="0" borderId="0" xfId="0" applyFont="1" applyBorder="1" applyAlignment="1">
      <alignment wrapText="1"/>
    </xf>
    <xf numFmtId="0" fontId="66" fillId="0" borderId="10" xfId="0" applyFont="1" applyFill="1" applyBorder="1" applyAlignment="1">
      <alignment vertical="top"/>
    </xf>
    <xf numFmtId="1" fontId="66" fillId="0" borderId="13" xfId="0" applyNumberFormat="1" applyFont="1" applyFill="1" applyBorder="1" applyAlignment="1">
      <alignment horizontal="center" vertical="top"/>
    </xf>
    <xf numFmtId="0" fontId="63" fillId="0" borderId="10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center" vertical="top"/>
    </xf>
    <xf numFmtId="0" fontId="63" fillId="0" borderId="0" xfId="0" applyFont="1" applyFill="1" applyBorder="1" applyAlignment="1">
      <alignment wrapText="1"/>
    </xf>
    <xf numFmtId="0" fontId="65" fillId="0" borderId="15" xfId="0" applyFont="1" applyFill="1" applyBorder="1" applyAlignment="1">
      <alignment vertical="top" wrapText="1"/>
    </xf>
    <xf numFmtId="0" fontId="63" fillId="0" borderId="0" xfId="0" applyFont="1" applyFill="1" applyBorder="1" applyAlignment="1">
      <alignment horizontal="center" wrapText="1"/>
    </xf>
    <xf numFmtId="0" fontId="63" fillId="0" borderId="0" xfId="0" applyFont="1" applyFill="1" applyBorder="1" applyAlignment="1">
      <alignment horizontal="center" vertical="top" wrapText="1"/>
    </xf>
    <xf numFmtId="0" fontId="63" fillId="0" borderId="14" xfId="0" applyFont="1" applyFill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top" wrapText="1"/>
    </xf>
    <xf numFmtId="0" fontId="63" fillId="0" borderId="13" xfId="0" applyFont="1" applyFill="1" applyBorder="1" applyAlignment="1">
      <alignment horizontal="center" vertical="top" wrapText="1"/>
    </xf>
    <xf numFmtId="0" fontId="66" fillId="0" borderId="13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66" fillId="0" borderId="14" xfId="0" applyFont="1" applyFill="1" applyBorder="1" applyAlignment="1">
      <alignment vertical="top"/>
    </xf>
    <xf numFmtId="0" fontId="70" fillId="0" borderId="11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 wrapText="1"/>
    </xf>
    <xf numFmtId="1" fontId="66" fillId="0" borderId="16" xfId="0" applyNumberFormat="1" applyFont="1" applyFill="1" applyBorder="1" applyAlignment="1">
      <alignment horizontal="center" vertical="top"/>
    </xf>
    <xf numFmtId="164" fontId="66" fillId="0" borderId="16" xfId="0" applyNumberFormat="1" applyFont="1" applyFill="1" applyBorder="1" applyAlignment="1">
      <alignment horizontal="center" vertical="top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 wrapText="1"/>
    </xf>
    <xf numFmtId="0" fontId="63" fillId="0" borderId="14" xfId="0" applyFont="1" applyFill="1" applyBorder="1" applyAlignment="1">
      <alignment horizontal="center" vertical="top" wrapText="1"/>
    </xf>
    <xf numFmtId="0" fontId="72" fillId="0" borderId="13" xfId="0" applyFont="1" applyFill="1" applyBorder="1" applyAlignment="1">
      <alignment horizontal="center" vertical="top" wrapText="1"/>
    </xf>
    <xf numFmtId="0" fontId="72" fillId="0" borderId="10" xfId="0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2" fillId="0" borderId="24" xfId="0" applyFont="1" applyFill="1" applyBorder="1" applyAlignment="1">
      <alignment horizontal="center" vertical="top"/>
    </xf>
    <xf numFmtId="0" fontId="63" fillId="0" borderId="13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 wrapText="1"/>
    </xf>
    <xf numFmtId="0" fontId="63" fillId="0" borderId="14" xfId="0" applyFont="1" applyFill="1" applyBorder="1" applyAlignment="1">
      <alignment horizontal="center" vertical="top" wrapText="1"/>
    </xf>
    <xf numFmtId="1" fontId="74" fillId="0" borderId="25" xfId="0" applyNumberFormat="1" applyFont="1" applyFill="1" applyBorder="1" applyAlignment="1">
      <alignment horizontal="center" vertical="top"/>
    </xf>
    <xf numFmtId="0" fontId="74" fillId="0" borderId="13" xfId="0" applyFont="1" applyFill="1" applyBorder="1" applyAlignment="1">
      <alignment horizontal="center" vertical="top" wrapText="1"/>
    </xf>
    <xf numFmtId="0" fontId="74" fillId="0" borderId="10" xfId="0" applyFont="1" applyFill="1" applyBorder="1" applyAlignment="1">
      <alignment horizontal="center" vertical="top"/>
    </xf>
    <xf numFmtId="0" fontId="62" fillId="0" borderId="14" xfId="0" applyFont="1" applyFill="1" applyBorder="1" applyAlignment="1">
      <alignment horizontal="center" vertical="top"/>
    </xf>
    <xf numFmtId="1" fontId="62" fillId="0" borderId="10" xfId="0" applyNumberFormat="1" applyFont="1" applyFill="1" applyBorder="1" applyAlignment="1">
      <alignment horizontal="center" vertical="top"/>
    </xf>
    <xf numFmtId="0" fontId="62" fillId="0" borderId="0" xfId="0" applyFont="1" applyFill="1" applyBorder="1" applyAlignment="1">
      <alignment vertical="top"/>
    </xf>
    <xf numFmtId="0" fontId="62" fillId="0" borderId="26" xfId="0" applyFont="1" applyFill="1" applyBorder="1" applyAlignment="1">
      <alignment vertical="top"/>
    </xf>
    <xf numFmtId="1" fontId="62" fillId="0" borderId="13" xfId="0" applyNumberFormat="1" applyFont="1" applyFill="1" applyBorder="1" applyAlignment="1">
      <alignment horizontal="center" vertical="top"/>
    </xf>
    <xf numFmtId="1" fontId="62" fillId="0" borderId="14" xfId="0" applyNumberFormat="1" applyFont="1" applyFill="1" applyBorder="1" applyAlignment="1">
      <alignment horizontal="center" vertical="top"/>
    </xf>
    <xf numFmtId="1" fontId="62" fillId="0" borderId="18" xfId="0" applyNumberFormat="1" applyFont="1" applyFill="1" applyBorder="1" applyAlignment="1">
      <alignment horizontal="center" vertical="top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164" fontId="63" fillId="0" borderId="10" xfId="0" applyNumberFormat="1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top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top" wrapText="1"/>
    </xf>
    <xf numFmtId="164" fontId="63" fillId="0" borderId="10" xfId="0" applyNumberFormat="1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1" fontId="71" fillId="0" borderId="10" xfId="0" applyNumberFormat="1" applyFont="1" applyFill="1" applyBorder="1" applyAlignment="1">
      <alignment horizontal="center" vertical="top"/>
    </xf>
    <xf numFmtId="1" fontId="75" fillId="0" borderId="10" xfId="0" applyNumberFormat="1" applyFont="1" applyFill="1" applyBorder="1" applyAlignment="1">
      <alignment horizontal="center" vertical="top"/>
    </xf>
    <xf numFmtId="0" fontId="74" fillId="0" borderId="10" xfId="0" applyFont="1" applyFill="1" applyBorder="1" applyAlignment="1">
      <alignment horizontal="center" vertical="top" wrapText="1"/>
    </xf>
    <xf numFmtId="0" fontId="66" fillId="0" borderId="23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top"/>
    </xf>
    <xf numFmtId="0" fontId="67" fillId="0" borderId="10" xfId="0" applyFont="1" applyFill="1" applyBorder="1" applyAlignment="1">
      <alignment horizontal="center" vertical="top" wrapText="1"/>
    </xf>
    <xf numFmtId="0" fontId="63" fillId="0" borderId="28" xfId="0" applyFont="1" applyFill="1" applyBorder="1" applyAlignment="1">
      <alignment horizontal="center" vertical="top"/>
    </xf>
    <xf numFmtId="0" fontId="67" fillId="0" borderId="16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4" fillId="0" borderId="17" xfId="0" applyFont="1" applyFill="1" applyBorder="1" applyAlignment="1">
      <alignment horizontal="center" vertical="top" wrapText="1"/>
    </xf>
    <xf numFmtId="0" fontId="74" fillId="0" borderId="16" xfId="0" applyFont="1" applyFill="1" applyBorder="1" applyAlignment="1">
      <alignment horizontal="center" vertical="top" wrapText="1"/>
    </xf>
    <xf numFmtId="0" fontId="72" fillId="0" borderId="17" xfId="0" applyFont="1" applyFill="1" applyBorder="1" applyAlignment="1">
      <alignment horizontal="center" vertical="top" wrapText="1"/>
    </xf>
    <xf numFmtId="0" fontId="72" fillId="0" borderId="16" xfId="0" applyFont="1" applyFill="1" applyBorder="1" applyAlignment="1">
      <alignment horizontal="center" vertical="top" wrapText="1"/>
    </xf>
    <xf numFmtId="0" fontId="73" fillId="0" borderId="16" xfId="0" applyFont="1" applyFill="1" applyBorder="1" applyAlignment="1">
      <alignment horizontal="center" vertical="top" wrapText="1"/>
    </xf>
    <xf numFmtId="0" fontId="62" fillId="0" borderId="18" xfId="0" applyFont="1" applyFill="1" applyBorder="1" applyAlignment="1">
      <alignment horizontal="center" vertical="top"/>
    </xf>
    <xf numFmtId="1" fontId="74" fillId="0" borderId="28" xfId="0" applyNumberFormat="1" applyFont="1" applyFill="1" applyBorder="1" applyAlignment="1">
      <alignment horizontal="center" vertical="top"/>
    </xf>
    <xf numFmtId="1" fontId="62" fillId="0" borderId="16" xfId="0" applyNumberFormat="1" applyFont="1" applyFill="1" applyBorder="1" applyAlignment="1">
      <alignment horizontal="center" vertical="top"/>
    </xf>
    <xf numFmtId="0" fontId="62" fillId="0" borderId="29" xfId="0" applyFont="1" applyFill="1" applyBorder="1" applyAlignment="1">
      <alignment vertical="top"/>
    </xf>
    <xf numFmtId="0" fontId="62" fillId="0" borderId="30" xfId="0" applyFont="1" applyFill="1" applyBorder="1" applyAlignment="1">
      <alignment vertical="top"/>
    </xf>
    <xf numFmtId="0" fontId="62" fillId="0" borderId="31" xfId="0" applyFont="1" applyFill="1" applyBorder="1" applyAlignment="1">
      <alignment horizontal="center" vertical="top"/>
    </xf>
    <xf numFmtId="1" fontId="62" fillId="0" borderId="17" xfId="0" applyNumberFormat="1" applyFont="1" applyFill="1" applyBorder="1" applyAlignment="1">
      <alignment horizontal="center" vertical="top"/>
    </xf>
    <xf numFmtId="1" fontId="71" fillId="0" borderId="17" xfId="0" applyNumberFormat="1" applyFont="1" applyFill="1" applyBorder="1" applyAlignment="1">
      <alignment horizontal="center" vertical="top"/>
    </xf>
    <xf numFmtId="1" fontId="71" fillId="0" borderId="16" xfId="0" applyNumberFormat="1" applyFont="1" applyFill="1" applyBorder="1" applyAlignment="1">
      <alignment horizontal="center" vertical="top"/>
    </xf>
    <xf numFmtId="1" fontId="75" fillId="0" borderId="16" xfId="0" applyNumberFormat="1" applyFont="1" applyFill="1" applyBorder="1" applyAlignment="1">
      <alignment horizontal="center" vertical="top"/>
    </xf>
    <xf numFmtId="0" fontId="62" fillId="0" borderId="32" xfId="0" applyFont="1" applyFill="1" applyBorder="1" applyAlignment="1">
      <alignment horizontal="center" vertical="top"/>
    </xf>
    <xf numFmtId="49" fontId="66" fillId="0" borderId="11" xfId="0" applyNumberFormat="1" applyFont="1" applyFill="1" applyBorder="1" applyAlignment="1">
      <alignment horizontal="center" vertical="top"/>
    </xf>
    <xf numFmtId="49" fontId="66" fillId="0" borderId="33" xfId="0" applyNumberFormat="1" applyFont="1" applyFill="1" applyBorder="1" applyAlignment="1">
      <alignment horizontal="center" vertical="top"/>
    </xf>
    <xf numFmtId="0" fontId="63" fillId="0" borderId="34" xfId="0" applyFont="1" applyFill="1" applyBorder="1" applyAlignment="1">
      <alignment horizontal="center" vertical="center" wrapText="1"/>
    </xf>
    <xf numFmtId="0" fontId="63" fillId="0" borderId="35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top" wrapText="1"/>
    </xf>
    <xf numFmtId="0" fontId="68" fillId="0" borderId="35" xfId="0" applyFont="1" applyFill="1" applyBorder="1" applyAlignment="1">
      <alignment horizontal="center" vertical="top" wrapText="1"/>
    </xf>
    <xf numFmtId="0" fontId="69" fillId="0" borderId="11" xfId="0" applyFont="1" applyFill="1" applyBorder="1" applyAlignment="1">
      <alignment horizontal="center" vertical="top" wrapText="1"/>
    </xf>
    <xf numFmtId="0" fontId="69" fillId="0" borderId="35" xfId="0" applyFont="1" applyFill="1" applyBorder="1" applyAlignment="1">
      <alignment horizontal="center" vertical="top" wrapText="1"/>
    </xf>
    <xf numFmtId="0" fontId="68" fillId="0" borderId="15" xfId="0" applyFont="1" applyFill="1" applyBorder="1" applyAlignment="1">
      <alignment horizontal="center" vertical="top" wrapText="1"/>
    </xf>
    <xf numFmtId="0" fontId="68" fillId="0" borderId="36" xfId="0" applyFont="1" applyFill="1" applyBorder="1" applyAlignment="1">
      <alignment horizontal="center" vertical="top" wrapText="1"/>
    </xf>
    <xf numFmtId="0" fontId="76" fillId="0" borderId="20" xfId="0" applyFont="1" applyFill="1" applyBorder="1" applyAlignment="1">
      <alignment horizontal="center" vertical="top" wrapText="1"/>
    </xf>
    <xf numFmtId="0" fontId="76" fillId="0" borderId="37" xfId="0" applyFont="1" applyFill="1" applyBorder="1" applyAlignment="1">
      <alignment horizontal="center" vertical="top" wrapText="1"/>
    </xf>
    <xf numFmtId="0" fontId="68" fillId="0" borderId="38" xfId="0" applyFont="1" applyFill="1" applyBorder="1" applyAlignment="1">
      <alignment horizontal="center" vertical="top" wrapText="1"/>
    </xf>
    <xf numFmtId="1" fontId="66" fillId="0" borderId="14" xfId="0" applyNumberFormat="1" applyFont="1" applyFill="1" applyBorder="1" applyAlignment="1">
      <alignment horizontal="center"/>
    </xf>
    <xf numFmtId="1" fontId="63" fillId="0" borderId="13" xfId="0" applyNumberFormat="1" applyFont="1" applyFill="1" applyBorder="1" applyAlignment="1">
      <alignment horizontal="center"/>
    </xf>
    <xf numFmtId="1" fontId="63" fillId="0" borderId="14" xfId="0" applyNumberFormat="1" applyFont="1" applyFill="1" applyBorder="1" applyAlignment="1">
      <alignment horizontal="center"/>
    </xf>
    <xf numFmtId="1" fontId="63" fillId="0" borderId="17" xfId="0" applyNumberFormat="1" applyFont="1" applyFill="1" applyBorder="1" applyAlignment="1">
      <alignment horizontal="center"/>
    </xf>
    <xf numFmtId="1" fontId="66" fillId="0" borderId="16" xfId="0" applyNumberFormat="1" applyFont="1" applyFill="1" applyBorder="1" applyAlignment="1">
      <alignment horizontal="center"/>
    </xf>
    <xf numFmtId="1" fontId="63" fillId="0" borderId="16" xfId="0" applyNumberFormat="1" applyFont="1" applyFill="1" applyBorder="1" applyAlignment="1">
      <alignment horizontal="center"/>
    </xf>
    <xf numFmtId="1" fontId="63" fillId="0" borderId="18" xfId="0" applyNumberFormat="1" applyFont="1" applyFill="1" applyBorder="1" applyAlignment="1">
      <alignment horizontal="center"/>
    </xf>
    <xf numFmtId="1" fontId="71" fillId="0" borderId="14" xfId="0" applyNumberFormat="1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" fontId="71" fillId="0" borderId="25" xfId="0" applyNumberFormat="1" applyFont="1" applyFill="1" applyBorder="1" applyAlignment="1">
      <alignment horizontal="center" vertical="center"/>
    </xf>
    <xf numFmtId="1" fontId="71" fillId="0" borderId="10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71" fillId="0" borderId="26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1" fontId="71" fillId="0" borderId="13" xfId="0" applyNumberFormat="1" applyFont="1" applyFill="1" applyBorder="1" applyAlignment="1">
      <alignment horizontal="center" vertical="center"/>
    </xf>
    <xf numFmtId="1" fontId="71" fillId="0" borderId="14" xfId="0" applyNumberFormat="1" applyFont="1" applyFill="1" applyBorder="1" applyAlignment="1">
      <alignment horizontal="center" vertical="center"/>
    </xf>
    <xf numFmtId="164" fontId="71" fillId="0" borderId="10" xfId="0" applyNumberFormat="1" applyFont="1" applyFill="1" applyBorder="1" applyAlignment="1">
      <alignment horizontal="center" vertical="top"/>
    </xf>
    <xf numFmtId="49" fontId="71" fillId="0" borderId="25" xfId="0" applyNumberFormat="1" applyFont="1" applyFill="1" applyBorder="1" applyAlignment="1">
      <alignment horizontal="center" vertical="top"/>
    </xf>
    <xf numFmtId="49" fontId="71" fillId="0" borderId="14" xfId="0" applyNumberFormat="1" applyFont="1" applyFill="1" applyBorder="1" applyAlignment="1">
      <alignment horizontal="center" vertical="top"/>
    </xf>
    <xf numFmtId="49" fontId="71" fillId="0" borderId="12" xfId="0" applyNumberFormat="1" applyFont="1" applyFill="1" applyBorder="1" applyAlignment="1">
      <alignment horizontal="center" vertical="top"/>
    </xf>
    <xf numFmtId="0" fontId="77" fillId="0" borderId="11" xfId="0" applyFont="1" applyFill="1" applyBorder="1" applyAlignment="1">
      <alignment vertical="top" wrapText="1"/>
    </xf>
    <xf numFmtId="1" fontId="71" fillId="0" borderId="11" xfId="0" applyNumberFormat="1" applyFont="1" applyFill="1" applyBorder="1" applyAlignment="1">
      <alignment horizontal="center" vertical="top"/>
    </xf>
    <xf numFmtId="0" fontId="77" fillId="0" borderId="12" xfId="0" applyFont="1" applyFill="1" applyBorder="1" applyAlignment="1">
      <alignment vertical="top" wrapText="1"/>
    </xf>
    <xf numFmtId="1" fontId="71" fillId="0" borderId="12" xfId="0" applyNumberFormat="1" applyFont="1" applyFill="1" applyBorder="1" applyAlignment="1">
      <alignment horizontal="center" vertical="top"/>
    </xf>
    <xf numFmtId="49" fontId="71" fillId="0" borderId="10" xfId="0" applyNumberFormat="1" applyFont="1" applyFill="1" applyBorder="1" applyAlignment="1">
      <alignment horizontal="center" vertical="top"/>
    </xf>
    <xf numFmtId="0" fontId="78" fillId="0" borderId="11" xfId="0" applyFont="1" applyFill="1" applyBorder="1" applyAlignment="1">
      <alignment vertical="top" wrapText="1"/>
    </xf>
    <xf numFmtId="49" fontId="71" fillId="0" borderId="13" xfId="0" applyNumberFormat="1" applyFont="1" applyFill="1" applyBorder="1" applyAlignment="1">
      <alignment horizontal="center" vertical="top"/>
    </xf>
    <xf numFmtId="1" fontId="75" fillId="0" borderId="14" xfId="0" applyNumberFormat="1" applyFont="1" applyFill="1" applyBorder="1" applyAlignment="1">
      <alignment horizontal="center" vertical="top"/>
    </xf>
    <xf numFmtId="1" fontId="75" fillId="0" borderId="11" xfId="0" applyNumberFormat="1" applyFont="1" applyFill="1" applyBorder="1" applyAlignment="1">
      <alignment horizontal="center" vertical="top"/>
    </xf>
    <xf numFmtId="0" fontId="78" fillId="0" borderId="12" xfId="0" applyFont="1" applyFill="1" applyBorder="1" applyAlignment="1">
      <alignment vertical="top" wrapText="1"/>
    </xf>
    <xf numFmtId="0" fontId="75" fillId="0" borderId="11" xfId="0" applyFont="1" applyFill="1" applyBorder="1" applyAlignment="1">
      <alignment vertical="top" wrapText="1"/>
    </xf>
    <xf numFmtId="0" fontId="75" fillId="0" borderId="12" xfId="0" applyFont="1" applyFill="1" applyBorder="1" applyAlignment="1">
      <alignment vertical="top" wrapText="1"/>
    </xf>
    <xf numFmtId="0" fontId="78" fillId="0" borderId="15" xfId="0" applyFont="1" applyFill="1" applyBorder="1" applyAlignment="1">
      <alignment vertical="top" wrapText="1"/>
    </xf>
    <xf numFmtId="0" fontId="78" fillId="0" borderId="22" xfId="0" applyFont="1" applyFill="1" applyBorder="1" applyAlignment="1">
      <alignment vertical="top" wrapText="1"/>
    </xf>
    <xf numFmtId="0" fontId="78" fillId="0" borderId="20" xfId="0" applyFont="1" applyFill="1" applyBorder="1" applyAlignment="1">
      <alignment vertical="top" wrapText="1"/>
    </xf>
    <xf numFmtId="0" fontId="78" fillId="0" borderId="21" xfId="0" applyFont="1" applyFill="1" applyBorder="1" applyAlignment="1">
      <alignment vertical="top" wrapText="1"/>
    </xf>
    <xf numFmtId="0" fontId="75" fillId="0" borderId="11" xfId="0" applyFont="1" applyFill="1" applyBorder="1" applyAlignment="1">
      <alignment horizontal="justify" vertical="top" wrapText="1"/>
    </xf>
    <xf numFmtId="0" fontId="75" fillId="0" borderId="12" xfId="0" applyFont="1" applyFill="1" applyBorder="1" applyAlignment="1">
      <alignment horizontal="justify" vertical="top" wrapText="1"/>
    </xf>
    <xf numFmtId="164" fontId="71" fillId="0" borderId="16" xfId="0" applyNumberFormat="1" applyFont="1" applyFill="1" applyBorder="1" applyAlignment="1">
      <alignment horizontal="center" vertical="top"/>
    </xf>
    <xf numFmtId="49" fontId="71" fillId="0" borderId="16" xfId="0" applyNumberFormat="1" applyFont="1" applyFill="1" applyBorder="1" applyAlignment="1">
      <alignment horizontal="center" vertical="top"/>
    </xf>
    <xf numFmtId="49" fontId="71" fillId="0" borderId="18" xfId="0" applyNumberFormat="1" applyFont="1" applyFill="1" applyBorder="1" applyAlignment="1">
      <alignment horizontal="center" vertical="top"/>
    </xf>
    <xf numFmtId="49" fontId="71" fillId="0" borderId="17" xfId="0" applyNumberFormat="1" applyFont="1" applyFill="1" applyBorder="1" applyAlignment="1">
      <alignment horizontal="center" vertical="top"/>
    </xf>
    <xf numFmtId="1" fontId="75" fillId="0" borderId="18" xfId="0" applyNumberFormat="1" applyFont="1" applyFill="1" applyBorder="1" applyAlignment="1">
      <alignment horizontal="center" vertical="top"/>
    </xf>
    <xf numFmtId="0" fontId="78" fillId="0" borderId="33" xfId="0" applyFont="1" applyFill="1" applyBorder="1" applyAlignment="1">
      <alignment vertical="top" wrapText="1"/>
    </xf>
    <xf numFmtId="0" fontId="78" fillId="0" borderId="19" xfId="0" applyFont="1" applyFill="1" applyBorder="1" applyAlignment="1">
      <alignment vertical="top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1" fontId="80" fillId="0" borderId="13" xfId="0" applyNumberFormat="1" applyFont="1" applyFill="1" applyBorder="1" applyAlignment="1">
      <alignment horizontal="center" vertical="center"/>
    </xf>
    <xf numFmtId="1" fontId="80" fillId="0" borderId="10" xfId="0" applyNumberFormat="1" applyFont="1" applyFill="1" applyBorder="1" applyAlignment="1">
      <alignment horizontal="center" vertical="center"/>
    </xf>
    <xf numFmtId="1" fontId="80" fillId="0" borderId="14" xfId="0" applyNumberFormat="1" applyFont="1" applyFill="1" applyBorder="1" applyAlignment="1">
      <alignment horizontal="center" vertical="center"/>
    </xf>
    <xf numFmtId="1" fontId="80" fillId="0" borderId="13" xfId="0" applyNumberFormat="1" applyFont="1" applyFill="1" applyBorder="1" applyAlignment="1">
      <alignment horizontal="center" vertical="top"/>
    </xf>
    <xf numFmtId="1" fontId="80" fillId="0" borderId="10" xfId="0" applyNumberFormat="1" applyFont="1" applyFill="1" applyBorder="1" applyAlignment="1">
      <alignment horizontal="center" vertical="top"/>
    </xf>
    <xf numFmtId="1" fontId="81" fillId="0" borderId="10" xfId="0" applyNumberFormat="1" applyFont="1" applyFill="1" applyBorder="1" applyAlignment="1">
      <alignment horizontal="center" vertical="top"/>
    </xf>
    <xf numFmtId="1" fontId="82" fillId="0" borderId="14" xfId="0" applyNumberFormat="1" applyFont="1" applyFill="1" applyBorder="1" applyAlignment="1">
      <alignment horizontal="center" vertical="top"/>
    </xf>
    <xf numFmtId="1" fontId="80" fillId="0" borderId="17" xfId="0" applyNumberFormat="1" applyFont="1" applyFill="1" applyBorder="1" applyAlignment="1">
      <alignment horizontal="center" vertical="top"/>
    </xf>
    <xf numFmtId="1" fontId="80" fillId="0" borderId="16" xfId="0" applyNumberFormat="1" applyFont="1" applyFill="1" applyBorder="1" applyAlignment="1">
      <alignment horizontal="center" vertical="top"/>
    </xf>
    <xf numFmtId="1" fontId="81" fillId="0" borderId="16" xfId="0" applyNumberFormat="1" applyFont="1" applyFill="1" applyBorder="1" applyAlignment="1">
      <alignment horizontal="center" vertical="top"/>
    </xf>
    <xf numFmtId="1" fontId="82" fillId="0" borderId="18" xfId="0" applyNumberFormat="1" applyFont="1" applyFill="1" applyBorder="1" applyAlignment="1">
      <alignment horizontal="center" vertical="top"/>
    </xf>
    <xf numFmtId="1" fontId="83" fillId="0" borderId="14" xfId="0" applyNumberFormat="1" applyFont="1" applyFill="1" applyBorder="1" applyAlignment="1">
      <alignment horizontal="center" vertical="top"/>
    </xf>
    <xf numFmtId="0" fontId="79" fillId="0" borderId="10" xfId="0" applyFont="1" applyFill="1" applyBorder="1" applyAlignment="1">
      <alignment horizontal="center" vertical="top" wrapText="1"/>
    </xf>
    <xf numFmtId="0" fontId="84" fillId="0" borderId="10" xfId="0" applyFont="1" applyFill="1" applyBorder="1" applyAlignment="1">
      <alignment horizontal="center" vertical="top" wrapText="1"/>
    </xf>
    <xf numFmtId="0" fontId="84" fillId="0" borderId="14" xfId="0" applyFont="1" applyFill="1" applyBorder="1" applyAlignment="1">
      <alignment horizontal="center" vertical="top" wrapText="1"/>
    </xf>
    <xf numFmtId="0" fontId="84" fillId="0" borderId="13" xfId="0" applyFont="1" applyFill="1" applyBorder="1" applyAlignment="1">
      <alignment horizontal="center" vertical="top" wrapText="1"/>
    </xf>
    <xf numFmtId="1" fontId="85" fillId="0" borderId="13" xfId="0" applyNumberFormat="1" applyFont="1" applyFill="1" applyBorder="1" applyAlignment="1">
      <alignment horizontal="center" vertical="top"/>
    </xf>
    <xf numFmtId="1" fontId="85" fillId="0" borderId="10" xfId="0" applyNumberFormat="1" applyFont="1" applyFill="1" applyBorder="1" applyAlignment="1">
      <alignment horizontal="center" vertical="top"/>
    </xf>
    <xf numFmtId="49" fontId="85" fillId="0" borderId="14" xfId="0" applyNumberFormat="1" applyFont="1" applyFill="1" applyBorder="1" applyAlignment="1">
      <alignment horizontal="center" vertical="top"/>
    </xf>
    <xf numFmtId="1" fontId="84" fillId="0" borderId="10" xfId="0" applyNumberFormat="1" applyFont="1" applyFill="1" applyBorder="1" applyAlignment="1">
      <alignment horizontal="center" vertical="top"/>
    </xf>
    <xf numFmtId="1" fontId="85" fillId="0" borderId="17" xfId="0" applyNumberFormat="1" applyFont="1" applyFill="1" applyBorder="1" applyAlignment="1">
      <alignment horizontal="center" vertical="top"/>
    </xf>
    <xf numFmtId="1" fontId="85" fillId="0" borderId="16" xfId="0" applyNumberFormat="1" applyFont="1" applyFill="1" applyBorder="1" applyAlignment="1">
      <alignment horizontal="center" vertical="top"/>
    </xf>
    <xf numFmtId="1" fontId="84" fillId="0" borderId="16" xfId="0" applyNumberFormat="1" applyFont="1" applyFill="1" applyBorder="1" applyAlignment="1">
      <alignment horizontal="center" vertical="top"/>
    </xf>
    <xf numFmtId="49" fontId="85" fillId="0" borderId="18" xfId="0" applyNumberFormat="1" applyFont="1" applyFill="1" applyBorder="1" applyAlignment="1">
      <alignment horizontal="center" vertical="top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39" xfId="0" applyFont="1" applyFill="1" applyBorder="1" applyAlignment="1">
      <alignment horizontal="center" vertical="center" wrapText="1"/>
    </xf>
    <xf numFmtId="0" fontId="63" fillId="0" borderId="40" xfId="0" applyFont="1" applyFill="1" applyBorder="1" applyAlignment="1">
      <alignment horizontal="center" vertical="center" wrapText="1"/>
    </xf>
    <xf numFmtId="0" fontId="63" fillId="0" borderId="41" xfId="0" applyFont="1" applyFill="1" applyBorder="1" applyAlignment="1">
      <alignment horizontal="center" vertical="center" wrapText="1"/>
    </xf>
    <xf numFmtId="0" fontId="63" fillId="0" borderId="42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top"/>
    </xf>
    <xf numFmtId="0" fontId="63" fillId="0" borderId="43" xfId="0" applyFont="1" applyFill="1" applyBorder="1" applyAlignment="1">
      <alignment horizontal="center" vertical="center" wrapText="1"/>
    </xf>
    <xf numFmtId="0" fontId="63" fillId="0" borderId="44" xfId="0" applyFont="1" applyFill="1" applyBorder="1" applyAlignment="1">
      <alignment horizontal="center" vertical="center" wrapText="1"/>
    </xf>
    <xf numFmtId="2" fontId="71" fillId="0" borderId="10" xfId="0" applyNumberFormat="1" applyFont="1" applyFill="1" applyBorder="1" applyAlignment="1">
      <alignment horizontal="center" vertical="top"/>
    </xf>
    <xf numFmtId="164" fontId="75" fillId="0" borderId="10" xfId="0" applyNumberFormat="1" applyFont="1" applyFill="1" applyBorder="1" applyAlignment="1">
      <alignment horizontal="center" vertical="top"/>
    </xf>
    <xf numFmtId="0" fontId="71" fillId="0" borderId="10" xfId="0" applyFont="1" applyFill="1" applyBorder="1" applyAlignment="1">
      <alignment horizontal="center" vertical="top"/>
    </xf>
    <xf numFmtId="0" fontId="75" fillId="0" borderId="10" xfId="0" applyFont="1" applyFill="1" applyBorder="1" applyAlignment="1">
      <alignment horizontal="center" vertical="top"/>
    </xf>
    <xf numFmtId="2" fontId="75" fillId="0" borderId="10" xfId="0" applyNumberFormat="1" applyFont="1" applyFill="1" applyBorder="1" applyAlignment="1">
      <alignment horizontal="center" vertical="top"/>
    </xf>
    <xf numFmtId="165" fontId="75" fillId="0" borderId="10" xfId="0" applyNumberFormat="1" applyFont="1" applyFill="1" applyBorder="1" applyAlignment="1">
      <alignment horizontal="center" vertical="top"/>
    </xf>
    <xf numFmtId="164" fontId="71" fillId="0" borderId="10" xfId="58" applyNumberFormat="1" applyFont="1" applyFill="1" applyBorder="1" applyAlignment="1">
      <alignment horizontal="center" vertical="top"/>
    </xf>
    <xf numFmtId="164" fontId="75" fillId="0" borderId="10" xfId="58" applyNumberFormat="1" applyFont="1" applyFill="1" applyBorder="1" applyAlignment="1">
      <alignment horizontal="center" vertical="top"/>
    </xf>
    <xf numFmtId="164" fontId="75" fillId="0" borderId="16" xfId="0" applyNumberFormat="1" applyFont="1" applyFill="1" applyBorder="1" applyAlignment="1">
      <alignment horizontal="center" vertical="top"/>
    </xf>
    <xf numFmtId="0" fontId="71" fillId="0" borderId="16" xfId="0" applyFont="1" applyFill="1" applyBorder="1" applyAlignment="1">
      <alignment horizontal="center" vertical="top"/>
    </xf>
    <xf numFmtId="0" fontId="66" fillId="0" borderId="43" xfId="0" applyFont="1" applyFill="1" applyBorder="1" applyAlignment="1">
      <alignment horizontal="center" vertical="center" textRotation="90" wrapText="1"/>
    </xf>
    <xf numFmtId="0" fontId="63" fillId="0" borderId="43" xfId="0" applyFont="1" applyFill="1" applyBorder="1" applyAlignment="1">
      <alignment horizontal="center" vertical="center" textRotation="90" wrapText="1"/>
    </xf>
    <xf numFmtId="0" fontId="63" fillId="0" borderId="10" xfId="0" applyFont="1" applyFill="1" applyBorder="1" applyAlignment="1">
      <alignment horizontal="center" vertical="center" textRotation="90" wrapText="1"/>
    </xf>
    <xf numFmtId="0" fontId="63" fillId="0" borderId="14" xfId="0" applyFont="1" applyFill="1" applyBorder="1" applyAlignment="1">
      <alignment horizontal="center" vertical="center" textRotation="90" wrapText="1"/>
    </xf>
    <xf numFmtId="0" fontId="63" fillId="0" borderId="13" xfId="0" applyFont="1" applyFill="1" applyBorder="1" applyAlignment="1">
      <alignment horizontal="center" vertical="center" textRotation="90" wrapText="1"/>
    </xf>
    <xf numFmtId="0" fontId="63" fillId="0" borderId="24" xfId="0" applyFont="1" applyFill="1" applyBorder="1" applyAlignment="1">
      <alignment horizontal="center" vertical="center" textRotation="90" wrapText="1"/>
    </xf>
    <xf numFmtId="0" fontId="63" fillId="0" borderId="45" xfId="0" applyFont="1" applyFill="1" applyBorder="1" applyAlignment="1">
      <alignment horizontal="center" vertical="center" textRotation="90" wrapText="1"/>
    </xf>
    <xf numFmtId="0" fontId="86" fillId="0" borderId="43" xfId="0" applyFont="1" applyFill="1" applyBorder="1" applyAlignment="1">
      <alignment horizontal="center" vertical="center" textRotation="90" wrapText="1"/>
    </xf>
    <xf numFmtId="0" fontId="70" fillId="0" borderId="43" xfId="0" applyFont="1" applyFill="1" applyBorder="1" applyAlignment="1">
      <alignment horizontal="center" vertical="center" textRotation="90" wrapText="1"/>
    </xf>
    <xf numFmtId="0" fontId="70" fillId="0" borderId="10" xfId="0" applyFont="1" applyFill="1" applyBorder="1" applyAlignment="1">
      <alignment horizontal="center" vertical="center" textRotation="90" wrapText="1"/>
    </xf>
    <xf numFmtId="0" fontId="70" fillId="0" borderId="14" xfId="0" applyFont="1" applyFill="1" applyBorder="1" applyAlignment="1">
      <alignment horizontal="center" vertical="center" textRotation="90" wrapText="1"/>
    </xf>
    <xf numFmtId="0" fontId="70" fillId="0" borderId="24" xfId="0" applyFont="1" applyFill="1" applyBorder="1" applyAlignment="1">
      <alignment horizontal="center" vertical="center" textRotation="90" wrapText="1"/>
    </xf>
    <xf numFmtId="0" fontId="70" fillId="0" borderId="13" xfId="0" applyFont="1" applyFill="1" applyBorder="1" applyAlignment="1">
      <alignment horizontal="center" vertical="center" textRotation="90" wrapText="1"/>
    </xf>
    <xf numFmtId="0" fontId="70" fillId="0" borderId="44" xfId="0" applyFont="1" applyFill="1" applyBorder="1" applyAlignment="1">
      <alignment horizontal="center" vertical="center" textRotation="90" wrapText="1"/>
    </xf>
    <xf numFmtId="0" fontId="77" fillId="0" borderId="24" xfId="0" applyFont="1" applyFill="1" applyBorder="1" applyAlignment="1">
      <alignment vertical="top" wrapText="1"/>
    </xf>
    <xf numFmtId="0" fontId="78" fillId="0" borderId="24" xfId="0" applyFont="1" applyFill="1" applyBorder="1" applyAlignment="1">
      <alignment vertical="top" wrapText="1"/>
    </xf>
    <xf numFmtId="0" fontId="75" fillId="0" borderId="24" xfId="0" applyFont="1" applyFill="1" applyBorder="1" applyAlignment="1">
      <alignment vertical="top" wrapText="1"/>
    </xf>
    <xf numFmtId="0" fontId="78" fillId="0" borderId="40" xfId="0" applyFont="1" applyFill="1" applyBorder="1" applyAlignment="1">
      <alignment vertical="top" wrapText="1"/>
    </xf>
    <xf numFmtId="0" fontId="78" fillId="0" borderId="39" xfId="0" applyFont="1" applyFill="1" applyBorder="1" applyAlignment="1">
      <alignment vertical="top" wrapText="1"/>
    </xf>
    <xf numFmtId="0" fontId="75" fillId="0" borderId="24" xfId="0" applyFont="1" applyFill="1" applyBorder="1" applyAlignment="1">
      <alignment horizontal="justify" vertical="top" wrapText="1"/>
    </xf>
    <xf numFmtId="1" fontId="66" fillId="0" borderId="14" xfId="0" applyNumberFormat="1" applyFont="1" applyFill="1" applyBorder="1" applyAlignment="1">
      <alignment horizontal="center" vertical="top"/>
    </xf>
    <xf numFmtId="1" fontId="63" fillId="0" borderId="14" xfId="0" applyNumberFormat="1" applyFont="1" applyFill="1" applyBorder="1" applyAlignment="1">
      <alignment horizontal="center" vertical="top"/>
    </xf>
    <xf numFmtId="1" fontId="63" fillId="0" borderId="18" xfId="0" applyNumberFormat="1" applyFont="1" applyFill="1" applyBorder="1" applyAlignment="1">
      <alignment horizontal="center" vertical="top"/>
    </xf>
    <xf numFmtId="0" fontId="66" fillId="0" borderId="16" xfId="0" applyFont="1" applyFill="1" applyBorder="1" applyAlignment="1">
      <alignment horizontal="center" vertical="top"/>
    </xf>
    <xf numFmtId="1" fontId="66" fillId="0" borderId="13" xfId="0" applyNumberFormat="1" applyFont="1" applyFill="1" applyBorder="1" applyAlignment="1">
      <alignment horizontal="center" vertical="center"/>
    </xf>
    <xf numFmtId="165" fontId="66" fillId="0" borderId="10" xfId="0" applyNumberFormat="1" applyFont="1" applyFill="1" applyBorder="1" applyAlignment="1">
      <alignment horizontal="center" vertical="center"/>
    </xf>
    <xf numFmtId="1" fontId="66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65" fontId="66" fillId="0" borderId="10" xfId="0" applyNumberFormat="1" applyFont="1" applyFill="1" applyBorder="1" applyAlignment="1" applyProtection="1">
      <alignment horizontal="center" vertical="center"/>
      <protection locked="0"/>
    </xf>
    <xf numFmtId="1" fontId="66" fillId="0" borderId="10" xfId="0" applyNumberFormat="1" applyFont="1" applyFill="1" applyBorder="1" applyAlignment="1" applyProtection="1">
      <alignment horizontal="center" vertical="center"/>
      <protection locked="0"/>
    </xf>
    <xf numFmtId="0" fontId="87" fillId="0" borderId="11" xfId="0" applyFont="1" applyFill="1" applyBorder="1" applyAlignment="1">
      <alignment horizontal="center" vertical="center" wrapText="1"/>
    </xf>
    <xf numFmtId="1" fontId="66" fillId="0" borderId="11" xfId="0" applyNumberFormat="1" applyFont="1" applyFill="1" applyBorder="1" applyAlignment="1">
      <alignment horizontal="center" vertical="center"/>
    </xf>
    <xf numFmtId="0" fontId="87" fillId="0" borderId="35" xfId="0" applyFont="1" applyFill="1" applyBorder="1" applyAlignment="1">
      <alignment horizontal="center" vertical="center" wrapText="1"/>
    </xf>
    <xf numFmtId="1" fontId="66" fillId="0" borderId="14" xfId="0" applyNumberFormat="1" applyFont="1" applyFill="1" applyBorder="1" applyAlignment="1">
      <alignment horizontal="center" vertical="center"/>
    </xf>
    <xf numFmtId="1" fontId="66" fillId="0" borderId="13" xfId="0" applyNumberFormat="1" applyFont="1" applyFill="1" applyBorder="1" applyAlignment="1">
      <alignment vertical="center"/>
    </xf>
    <xf numFmtId="49" fontId="66" fillId="0" borderId="11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vertical="center" wrapText="1"/>
    </xf>
    <xf numFmtId="0" fontId="67" fillId="0" borderId="20" xfId="0" applyFont="1" applyBorder="1" applyAlignment="1">
      <alignment vertical="top" wrapText="1"/>
    </xf>
    <xf numFmtId="0" fontId="62" fillId="0" borderId="10" xfId="0" applyFont="1" applyFill="1" applyBorder="1" applyAlignment="1">
      <alignment vertical="top"/>
    </xf>
    <xf numFmtId="0" fontId="62" fillId="0" borderId="14" xfId="0" applyFont="1" applyFill="1" applyBorder="1" applyAlignment="1">
      <alignment vertical="top"/>
    </xf>
    <xf numFmtId="0" fontId="62" fillId="0" borderId="16" xfId="0" applyFont="1" applyFill="1" applyBorder="1" applyAlignment="1">
      <alignment vertical="top"/>
    </xf>
    <xf numFmtId="0" fontId="62" fillId="0" borderId="18" xfId="0" applyFont="1" applyFill="1" applyBorder="1" applyAlignment="1">
      <alignment vertical="top"/>
    </xf>
    <xf numFmtId="0" fontId="88" fillId="0" borderId="0" xfId="0" applyFont="1" applyFill="1" applyAlignment="1">
      <alignment horizontal="center"/>
    </xf>
    <xf numFmtId="0" fontId="88" fillId="0" borderId="0" xfId="0" applyFont="1" applyFill="1" applyBorder="1" applyAlignment="1">
      <alignment horizontal="center" vertical="center" wrapText="1"/>
    </xf>
    <xf numFmtId="0" fontId="66" fillId="0" borderId="46" xfId="0" applyFont="1" applyFill="1" applyBorder="1" applyAlignment="1">
      <alignment horizontal="center" vertical="center" wrapText="1"/>
    </xf>
    <xf numFmtId="0" fontId="66" fillId="0" borderId="47" xfId="0" applyFont="1" applyFill="1" applyBorder="1" applyAlignment="1">
      <alignment horizontal="center" vertical="center" wrapText="1"/>
    </xf>
    <xf numFmtId="0" fontId="66" fillId="0" borderId="48" xfId="0" applyFont="1" applyFill="1" applyBorder="1" applyAlignment="1">
      <alignment horizontal="center" vertical="center" wrapText="1"/>
    </xf>
    <xf numFmtId="0" fontId="84" fillId="0" borderId="46" xfId="0" applyFont="1" applyFill="1" applyBorder="1" applyAlignment="1">
      <alignment horizontal="center" vertical="center" wrapText="1"/>
    </xf>
    <xf numFmtId="0" fontId="84" fillId="0" borderId="47" xfId="0" applyFont="1" applyFill="1" applyBorder="1" applyAlignment="1">
      <alignment horizontal="center" vertical="center" wrapText="1"/>
    </xf>
    <xf numFmtId="0" fontId="84" fillId="0" borderId="49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84" fillId="0" borderId="13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wrapText="1"/>
    </xf>
    <xf numFmtId="0" fontId="63" fillId="0" borderId="14" xfId="0" applyFont="1" applyFill="1" applyBorder="1" applyAlignment="1">
      <alignment horizontal="center" vertical="center" wrapText="1"/>
    </xf>
    <xf numFmtId="0" fontId="66" fillId="0" borderId="50" xfId="0" applyFont="1" applyFill="1" applyBorder="1" applyAlignment="1">
      <alignment horizontal="center" vertical="center" wrapText="1"/>
    </xf>
    <xf numFmtId="0" fontId="66" fillId="0" borderId="49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4" fillId="0" borderId="14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right" vertical="center" wrapText="1"/>
    </xf>
    <xf numFmtId="0" fontId="66" fillId="0" borderId="0" xfId="0" applyFont="1" applyAlignment="1">
      <alignment horizontal="center"/>
    </xf>
    <xf numFmtId="0" fontId="84" fillId="0" borderId="46" xfId="0" applyFont="1" applyFill="1" applyBorder="1" applyAlignment="1">
      <alignment horizontal="center" vertical="top" wrapText="1"/>
    </xf>
    <xf numFmtId="0" fontId="84" fillId="0" borderId="47" xfId="0" applyFont="1" applyFill="1" applyBorder="1" applyAlignment="1">
      <alignment horizontal="center" vertical="top" wrapText="1"/>
    </xf>
    <xf numFmtId="0" fontId="84" fillId="0" borderId="49" xfId="0" applyFont="1" applyFill="1" applyBorder="1" applyAlignment="1">
      <alignment horizontal="center" vertical="top" wrapText="1"/>
    </xf>
    <xf numFmtId="0" fontId="84" fillId="0" borderId="13" xfId="0" applyFont="1" applyFill="1" applyBorder="1" applyAlignment="1">
      <alignment horizontal="center" vertical="top" wrapText="1"/>
    </xf>
    <xf numFmtId="0" fontId="84" fillId="0" borderId="10" xfId="0" applyFont="1" applyFill="1" applyBorder="1" applyAlignment="1">
      <alignment horizontal="center" vertical="top" wrapText="1"/>
    </xf>
    <xf numFmtId="0" fontId="84" fillId="0" borderId="14" xfId="0" applyFont="1" applyFill="1" applyBorder="1" applyAlignment="1">
      <alignment horizontal="center" vertical="top" wrapText="1"/>
    </xf>
    <xf numFmtId="0" fontId="63" fillId="0" borderId="46" xfId="0" applyFont="1" applyFill="1" applyBorder="1" applyAlignment="1">
      <alignment horizontal="center" vertical="top" wrapText="1"/>
    </xf>
    <xf numFmtId="0" fontId="63" fillId="0" borderId="47" xfId="0" applyFont="1" applyFill="1" applyBorder="1" applyAlignment="1">
      <alignment horizontal="center" vertical="top" wrapText="1"/>
    </xf>
    <xf numFmtId="0" fontId="63" fillId="0" borderId="49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 wrapText="1"/>
    </xf>
    <xf numFmtId="0" fontId="63" fillId="0" borderId="14" xfId="0" applyFont="1" applyFill="1" applyBorder="1" applyAlignment="1">
      <alignment horizontal="center" vertical="top" wrapText="1"/>
    </xf>
    <xf numFmtId="0" fontId="63" fillId="0" borderId="51" xfId="0" applyFont="1" applyBorder="1" applyAlignment="1">
      <alignment horizontal="center" vertical="top" wrapText="1"/>
    </xf>
    <xf numFmtId="0" fontId="63" fillId="0" borderId="52" xfId="0" applyFont="1" applyBorder="1" applyAlignment="1">
      <alignment horizontal="center" vertical="top" wrapText="1"/>
    </xf>
    <xf numFmtId="0" fontId="69" fillId="0" borderId="13" xfId="0" applyFont="1" applyFill="1" applyBorder="1" applyAlignment="1">
      <alignment horizontal="center" vertical="top" wrapText="1"/>
    </xf>
    <xf numFmtId="0" fontId="63" fillId="0" borderId="13" xfId="0" applyFont="1" applyFill="1" applyBorder="1" applyAlignment="1">
      <alignment horizontal="center" vertical="top" wrapText="1"/>
    </xf>
    <xf numFmtId="0" fontId="66" fillId="0" borderId="53" xfId="0" applyFont="1" applyFill="1" applyBorder="1" applyAlignment="1">
      <alignment horizontal="center" vertical="top" wrapText="1"/>
    </xf>
    <xf numFmtId="0" fontId="66" fillId="0" borderId="0" xfId="0" applyFont="1" applyFill="1" applyBorder="1" applyAlignment="1">
      <alignment horizontal="center" vertical="top" wrapText="1"/>
    </xf>
    <xf numFmtId="0" fontId="63" fillId="0" borderId="46" xfId="0" applyFont="1" applyFill="1" applyBorder="1" applyAlignment="1">
      <alignment horizontal="center" vertical="center" wrapText="1"/>
    </xf>
    <xf numFmtId="0" fontId="63" fillId="0" borderId="47" xfId="0" applyFont="1" applyFill="1" applyBorder="1" applyAlignment="1">
      <alignment horizontal="center" vertical="center" wrapText="1"/>
    </xf>
    <xf numFmtId="0" fontId="63" fillId="0" borderId="49" xfId="0" applyFont="1" applyFill="1" applyBorder="1" applyAlignment="1">
      <alignment horizontal="center" vertical="center" wrapText="1"/>
    </xf>
    <xf numFmtId="164" fontId="63" fillId="0" borderId="10" xfId="0" applyNumberFormat="1" applyFont="1" applyFill="1" applyBorder="1" applyAlignment="1">
      <alignment horizontal="center" vertical="center" wrapText="1"/>
    </xf>
    <xf numFmtId="0" fontId="63" fillId="0" borderId="48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wrapText="1"/>
    </xf>
    <xf numFmtId="0" fontId="66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89" fillId="0" borderId="0" xfId="0" applyFont="1" applyFill="1" applyAlignment="1">
      <alignment horizontal="center"/>
    </xf>
    <xf numFmtId="0" fontId="89" fillId="0" borderId="29" xfId="0" applyFont="1" applyFill="1" applyBorder="1" applyAlignment="1">
      <alignment horizontal="center"/>
    </xf>
    <xf numFmtId="0" fontId="75" fillId="0" borderId="54" xfId="0" applyFont="1" applyFill="1" applyBorder="1" applyAlignment="1">
      <alignment horizontal="center" vertical="center" wrapText="1"/>
    </xf>
    <xf numFmtId="0" fontId="75" fillId="0" borderId="23" xfId="0" applyFont="1" applyFill="1" applyBorder="1" applyAlignment="1">
      <alignment horizontal="center" vertical="center" wrapText="1"/>
    </xf>
    <xf numFmtId="0" fontId="75" fillId="0" borderId="55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3" fillId="0" borderId="39" xfId="0" applyFont="1" applyFill="1" applyBorder="1" applyAlignment="1">
      <alignment horizontal="center" vertical="center" wrapText="1"/>
    </xf>
    <xf numFmtId="0" fontId="63" fillId="0" borderId="45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40" xfId="0" applyFont="1" applyFill="1" applyBorder="1" applyAlignment="1">
      <alignment horizontal="center" vertical="center" wrapText="1"/>
    </xf>
    <xf numFmtId="0" fontId="63" fillId="0" borderId="41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56" xfId="0" applyFont="1" applyFill="1" applyBorder="1" applyAlignment="1">
      <alignment horizontal="center" vertical="center" wrapText="1"/>
    </xf>
    <xf numFmtId="0" fontId="63" fillId="0" borderId="52" xfId="0" applyFont="1" applyFill="1" applyBorder="1" applyAlignment="1">
      <alignment horizontal="center" vertical="center" wrapText="1"/>
    </xf>
    <xf numFmtId="0" fontId="71" fillId="0" borderId="46" xfId="0" applyFont="1" applyFill="1" applyBorder="1" applyAlignment="1">
      <alignment horizontal="center" vertical="center" wrapText="1"/>
    </xf>
    <xf numFmtId="0" fontId="71" fillId="0" borderId="47" xfId="0" applyFont="1" applyFill="1" applyBorder="1" applyAlignment="1">
      <alignment horizontal="center" vertical="center" wrapText="1"/>
    </xf>
    <xf numFmtId="0" fontId="71" fillId="0" borderId="49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39" xfId="0" applyFont="1" applyFill="1" applyBorder="1" applyAlignment="1">
      <alignment horizontal="center" vertical="center" wrapText="1"/>
    </xf>
    <xf numFmtId="0" fontId="66" fillId="0" borderId="45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40" xfId="0" applyFont="1" applyFill="1" applyBorder="1" applyAlignment="1">
      <alignment horizontal="center" vertical="center" wrapText="1"/>
    </xf>
    <xf numFmtId="0" fontId="66" fillId="0" borderId="41" xfId="0" applyFont="1" applyFill="1" applyBorder="1" applyAlignment="1">
      <alignment horizontal="center" vertical="center" wrapText="1"/>
    </xf>
    <xf numFmtId="0" fontId="89" fillId="0" borderId="57" xfId="0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 wrapText="1"/>
    </xf>
    <xf numFmtId="0" fontId="89" fillId="0" borderId="58" xfId="0" applyFont="1" applyFill="1" applyBorder="1" applyAlignment="1">
      <alignment horizontal="center" vertical="center" wrapText="1"/>
    </xf>
    <xf numFmtId="0" fontId="89" fillId="0" borderId="29" xfId="0" applyFont="1" applyFill="1" applyBorder="1" applyAlignment="1">
      <alignment horizontal="center" vertical="center" wrapText="1"/>
    </xf>
    <xf numFmtId="0" fontId="63" fillId="0" borderId="53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59" xfId="0" applyFont="1" applyFill="1" applyBorder="1" applyAlignment="1">
      <alignment horizontal="center" vertical="center" wrapText="1"/>
    </xf>
    <xf numFmtId="0" fontId="66" fillId="0" borderId="56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53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59" xfId="0" applyFont="1" applyFill="1" applyBorder="1" applyAlignment="1">
      <alignment horizontal="center" vertical="center" wrapText="1"/>
    </xf>
    <xf numFmtId="0" fontId="71" fillId="0" borderId="60" xfId="0" applyFont="1" applyFill="1" applyBorder="1" applyAlignment="1">
      <alignment horizontal="center" vertical="center" wrapText="1"/>
    </xf>
    <xf numFmtId="0" fontId="71" fillId="0" borderId="61" xfId="0" applyFont="1" applyFill="1" applyBorder="1" applyAlignment="1">
      <alignment horizontal="center" vertical="center" wrapText="1"/>
    </xf>
    <xf numFmtId="0" fontId="71" fillId="0" borderId="62" xfId="0" applyFont="1" applyFill="1" applyBorder="1" applyAlignment="1">
      <alignment horizontal="center" vertical="center" wrapText="1"/>
    </xf>
    <xf numFmtId="0" fontId="71" fillId="0" borderId="63" xfId="0" applyFont="1" applyFill="1" applyBorder="1" applyAlignment="1">
      <alignment horizontal="center" vertical="center" wrapText="1"/>
    </xf>
    <xf numFmtId="0" fontId="63" fillId="0" borderId="64" xfId="0" applyFont="1" applyFill="1" applyBorder="1" applyAlignment="1">
      <alignment horizontal="center" vertical="center" wrapText="1"/>
    </xf>
    <xf numFmtId="0" fontId="63" fillId="0" borderId="42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 wrapText="1"/>
    </xf>
    <xf numFmtId="0" fontId="66" fillId="0" borderId="25" xfId="0" applyFont="1" applyFill="1" applyBorder="1" applyAlignment="1">
      <alignment horizontal="center" vertical="center" wrapText="1"/>
    </xf>
    <xf numFmtId="0" fontId="71" fillId="0" borderId="5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8"/>
  <sheetViews>
    <sheetView tabSelected="1" zoomScale="73" zoomScaleNormal="73" zoomScalePageLayoutView="0" workbookViewId="0" topLeftCell="A5">
      <pane ySplit="816" topLeftCell="A7" activePane="bottomLeft" state="split"/>
      <selection pane="topLeft" activeCell="CE5" sqref="CE1:CE16384"/>
      <selection pane="bottomLeft" activeCell="AE16" sqref="AE16"/>
    </sheetView>
  </sheetViews>
  <sheetFormatPr defaultColWidth="9.140625" defaultRowHeight="15"/>
  <cols>
    <col min="1" max="1" width="17.7109375" style="1" customWidth="1"/>
    <col min="2" max="2" width="4.57421875" style="1" customWidth="1"/>
    <col min="3" max="3" width="4.28125" style="1" customWidth="1"/>
    <col min="4" max="4" width="4.00390625" style="1" customWidth="1"/>
    <col min="5" max="6" width="3.421875" style="1" customWidth="1"/>
    <col min="7" max="8" width="3.8515625" style="1" customWidth="1"/>
    <col min="9" max="9" width="3.28125" style="1" customWidth="1"/>
    <col min="10" max="10" width="2.57421875" style="1" hidden="1" customWidth="1"/>
    <col min="11" max="11" width="4.57421875" style="1" customWidth="1"/>
    <col min="12" max="13" width="3.57421875" style="1" customWidth="1"/>
    <col min="14" max="14" width="3.8515625" style="1" customWidth="1"/>
    <col min="15" max="15" width="3.140625" style="1" customWidth="1"/>
    <col min="16" max="16" width="4.28125" style="1" customWidth="1"/>
    <col min="17" max="17" width="4.57421875" style="1" customWidth="1"/>
    <col min="18" max="18" width="3.7109375" style="1" customWidth="1"/>
    <col min="19" max="19" width="4.57421875" style="1" hidden="1" customWidth="1"/>
    <col min="20" max="20" width="4.421875" style="1" hidden="1" customWidth="1"/>
    <col min="21" max="21" width="4.140625" style="1" hidden="1" customWidth="1"/>
    <col min="22" max="23" width="4.7109375" style="1" hidden="1" customWidth="1"/>
    <col min="24" max="24" width="4.8515625" style="1" hidden="1" customWidth="1"/>
    <col min="25" max="25" width="4.28125" style="1" hidden="1" customWidth="1"/>
    <col min="26" max="26" width="0.2890625" style="1" hidden="1" customWidth="1"/>
    <col min="27" max="28" width="8.8515625" style="1" hidden="1" customWidth="1"/>
    <col min="29" max="29" width="4.7109375" style="1" customWidth="1"/>
    <col min="30" max="30" width="3.57421875" style="1" customWidth="1"/>
    <col min="31" max="31" width="3.7109375" style="1" customWidth="1"/>
    <col min="32" max="32" width="4.00390625" style="1" customWidth="1"/>
    <col min="33" max="34" width="3.57421875" style="1" customWidth="1"/>
    <col min="35" max="35" width="4.28125" style="1" customWidth="1"/>
    <col min="36" max="36" width="3.28125" style="1" customWidth="1"/>
    <col min="37" max="37" width="0.13671875" style="1" customWidth="1"/>
    <col min="38" max="38" width="3.8515625" style="1" hidden="1" customWidth="1"/>
    <col min="39" max="39" width="4.140625" style="1" hidden="1" customWidth="1"/>
    <col min="40" max="40" width="4.57421875" style="1" hidden="1" customWidth="1"/>
    <col min="41" max="41" width="4.7109375" style="1" hidden="1" customWidth="1"/>
    <col min="42" max="42" width="5.28125" style="1" hidden="1" customWidth="1"/>
    <col min="43" max="43" width="3.7109375" style="1" hidden="1" customWidth="1"/>
    <col min="44" max="46" width="8.8515625" style="1" hidden="1" customWidth="1"/>
    <col min="47" max="47" width="4.7109375" style="1" customWidth="1"/>
    <col min="48" max="48" width="3.8515625" style="1" customWidth="1"/>
    <col min="49" max="50" width="3.57421875" style="1" customWidth="1"/>
    <col min="51" max="52" width="3.7109375" style="1" customWidth="1"/>
    <col min="53" max="53" width="4.421875" style="1" customWidth="1"/>
    <col min="54" max="54" width="3.28125" style="1" customWidth="1"/>
    <col min="55" max="55" width="4.57421875" style="1" hidden="1" customWidth="1"/>
    <col min="56" max="56" width="4.140625" style="1" hidden="1" customWidth="1"/>
    <col min="57" max="57" width="4.28125" style="1" hidden="1" customWidth="1"/>
    <col min="58" max="58" width="3.7109375" style="1" hidden="1" customWidth="1"/>
    <col min="59" max="59" width="4.421875" style="1" hidden="1" customWidth="1"/>
    <col min="60" max="60" width="4.00390625" style="1" hidden="1" customWidth="1"/>
    <col min="61" max="61" width="4.140625" style="1" hidden="1" customWidth="1"/>
    <col min="62" max="62" width="4.28125" style="1" hidden="1" customWidth="1"/>
    <col min="63" max="63" width="4.140625" style="1" hidden="1" customWidth="1"/>
    <col min="64" max="64" width="2.57421875" style="1" hidden="1" customWidth="1"/>
    <col min="65" max="65" width="4.7109375" style="1" customWidth="1"/>
    <col min="66" max="66" width="3.7109375" style="1" customWidth="1"/>
    <col min="67" max="67" width="4.140625" style="1" customWidth="1"/>
    <col min="68" max="69" width="3.7109375" style="1" customWidth="1"/>
    <col min="70" max="70" width="3.8515625" style="1" customWidth="1"/>
    <col min="71" max="71" width="3.7109375" style="1" customWidth="1"/>
    <col min="72" max="72" width="3.57421875" style="1" customWidth="1"/>
    <col min="73" max="73" width="3.7109375" style="1" hidden="1" customWidth="1"/>
    <col min="74" max="75" width="3.8515625" style="1" customWidth="1"/>
    <col min="76" max="77" width="3.7109375" style="1" customWidth="1"/>
    <col min="78" max="78" width="3.8515625" style="1" customWidth="1"/>
    <col min="79" max="80" width="4.00390625" style="1" customWidth="1"/>
    <col min="81" max="81" width="3.28125" style="1" customWidth="1"/>
    <col min="82" max="82" width="4.28125" style="1" hidden="1" customWidth="1"/>
    <col min="83" max="16384" width="8.8515625" style="1" customWidth="1"/>
  </cols>
  <sheetData>
    <row r="1" spans="1:81" ht="21.75" customHeight="1">
      <c r="A1" s="304" t="s">
        <v>37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304"/>
      <c r="BN1" s="304"/>
      <c r="BO1" s="304"/>
      <c r="BP1" s="304"/>
      <c r="BQ1" s="304"/>
      <c r="BR1" s="304"/>
      <c r="BS1" s="304"/>
      <c r="BT1" s="304"/>
      <c r="BU1" s="304"/>
      <c r="BV1" s="304"/>
      <c r="BW1" s="304"/>
      <c r="BX1" s="304"/>
      <c r="BY1" s="304"/>
      <c r="BZ1" s="304"/>
      <c r="CA1" s="304"/>
      <c r="CB1" s="304"/>
      <c r="CC1" s="304"/>
    </row>
    <row r="2" spans="1:81" s="4" customFormat="1" ht="19.5" customHeight="1">
      <c r="A2" s="305" t="s">
        <v>10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F2" s="305"/>
      <c r="BG2" s="305"/>
      <c r="BH2" s="305"/>
      <c r="BI2" s="305"/>
      <c r="BJ2" s="305"/>
      <c r="BK2" s="305"/>
      <c r="BL2" s="305"/>
      <c r="BM2" s="305"/>
      <c r="BN2" s="305"/>
      <c r="BO2" s="305"/>
      <c r="BP2" s="305"/>
      <c r="BQ2" s="305"/>
      <c r="BR2" s="305"/>
      <c r="BS2" s="305"/>
      <c r="BT2" s="305"/>
      <c r="BU2" s="305"/>
      <c r="BV2" s="305"/>
      <c r="BW2" s="305"/>
      <c r="BX2" s="305"/>
      <c r="BY2" s="305"/>
      <c r="BZ2" s="305"/>
      <c r="CA2" s="305"/>
      <c r="CB2" s="305"/>
      <c r="CC2" s="305"/>
    </row>
    <row r="3" spans="1:46" s="4" customFormat="1" ht="14.25" customHeight="1" thickBot="1">
      <c r="A3" s="72"/>
      <c r="B3" s="323" t="s">
        <v>21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323"/>
      <c r="AS3" s="323"/>
      <c r="AT3" s="323"/>
    </row>
    <row r="4" spans="1:82" s="4" customFormat="1" ht="13.5" customHeight="1">
      <c r="A4" s="316"/>
      <c r="B4" s="306">
        <v>2018</v>
      </c>
      <c r="C4" s="307"/>
      <c r="D4" s="307"/>
      <c r="E4" s="307"/>
      <c r="F4" s="307"/>
      <c r="G4" s="307"/>
      <c r="H4" s="307"/>
      <c r="I4" s="307"/>
      <c r="J4" s="319"/>
      <c r="K4" s="306">
        <v>2019</v>
      </c>
      <c r="L4" s="307"/>
      <c r="M4" s="307"/>
      <c r="N4" s="307"/>
      <c r="O4" s="307"/>
      <c r="P4" s="307"/>
      <c r="Q4" s="307"/>
      <c r="R4" s="307"/>
      <c r="S4" s="319"/>
      <c r="T4" s="318" t="s">
        <v>11</v>
      </c>
      <c r="U4" s="307"/>
      <c r="V4" s="307"/>
      <c r="W4" s="307"/>
      <c r="X4" s="307"/>
      <c r="Y4" s="307"/>
      <c r="Z4" s="307"/>
      <c r="AA4" s="307"/>
      <c r="AB4" s="319"/>
      <c r="AC4" s="306">
        <v>2020</v>
      </c>
      <c r="AD4" s="307"/>
      <c r="AE4" s="307"/>
      <c r="AF4" s="307"/>
      <c r="AG4" s="307"/>
      <c r="AH4" s="307"/>
      <c r="AI4" s="307"/>
      <c r="AJ4" s="307"/>
      <c r="AK4" s="308"/>
      <c r="AL4" s="306" t="s">
        <v>43</v>
      </c>
      <c r="AM4" s="307"/>
      <c r="AN4" s="307"/>
      <c r="AO4" s="307"/>
      <c r="AP4" s="307"/>
      <c r="AQ4" s="307"/>
      <c r="AR4" s="307"/>
      <c r="AS4" s="307"/>
      <c r="AT4" s="319"/>
      <c r="AU4" s="306">
        <v>2021</v>
      </c>
      <c r="AV4" s="307"/>
      <c r="AW4" s="307"/>
      <c r="AX4" s="307"/>
      <c r="AY4" s="307"/>
      <c r="AZ4" s="307"/>
      <c r="BA4" s="307"/>
      <c r="BB4" s="307"/>
      <c r="BC4" s="308"/>
      <c r="BD4" s="309" t="s">
        <v>50</v>
      </c>
      <c r="BE4" s="310"/>
      <c r="BF4" s="310"/>
      <c r="BG4" s="310"/>
      <c r="BH4" s="310"/>
      <c r="BI4" s="310"/>
      <c r="BJ4" s="310"/>
      <c r="BK4" s="310"/>
      <c r="BL4" s="311"/>
      <c r="BM4" s="306">
        <v>2022</v>
      </c>
      <c r="BN4" s="307"/>
      <c r="BO4" s="307"/>
      <c r="BP4" s="307"/>
      <c r="BQ4" s="307"/>
      <c r="BR4" s="307"/>
      <c r="BS4" s="307"/>
      <c r="BT4" s="307"/>
      <c r="BU4" s="319"/>
      <c r="BV4" s="309" t="s">
        <v>52</v>
      </c>
      <c r="BW4" s="310"/>
      <c r="BX4" s="310"/>
      <c r="BY4" s="310"/>
      <c r="BZ4" s="310"/>
      <c r="CA4" s="310"/>
      <c r="CB4" s="310"/>
      <c r="CC4" s="310"/>
      <c r="CD4" s="311"/>
    </row>
    <row r="5" spans="1:82" s="4" customFormat="1" ht="14.25" customHeight="1">
      <c r="A5" s="316"/>
      <c r="B5" s="312"/>
      <c r="C5" s="313" t="s">
        <v>7</v>
      </c>
      <c r="D5" s="313" t="s">
        <v>12</v>
      </c>
      <c r="E5" s="313"/>
      <c r="F5" s="313"/>
      <c r="G5" s="313" t="s">
        <v>8</v>
      </c>
      <c r="H5" s="313" t="s">
        <v>12</v>
      </c>
      <c r="I5" s="313"/>
      <c r="J5" s="317"/>
      <c r="K5" s="312"/>
      <c r="L5" s="313" t="s">
        <v>7</v>
      </c>
      <c r="M5" s="313" t="s">
        <v>12</v>
      </c>
      <c r="N5" s="313"/>
      <c r="O5" s="313"/>
      <c r="P5" s="313" t="s">
        <v>8</v>
      </c>
      <c r="Q5" s="313" t="s">
        <v>12</v>
      </c>
      <c r="R5" s="313"/>
      <c r="S5" s="317"/>
      <c r="T5" s="322" t="s">
        <v>49</v>
      </c>
      <c r="U5" s="313" t="s">
        <v>7</v>
      </c>
      <c r="V5" s="313" t="s">
        <v>12</v>
      </c>
      <c r="W5" s="313"/>
      <c r="X5" s="313"/>
      <c r="Y5" s="313" t="s">
        <v>8</v>
      </c>
      <c r="Z5" s="313" t="s">
        <v>12</v>
      </c>
      <c r="AA5" s="313"/>
      <c r="AB5" s="317"/>
      <c r="AC5" s="312"/>
      <c r="AD5" s="313" t="s">
        <v>7</v>
      </c>
      <c r="AE5" s="313" t="s">
        <v>12</v>
      </c>
      <c r="AF5" s="313"/>
      <c r="AG5" s="313"/>
      <c r="AH5" s="313" t="s">
        <v>8</v>
      </c>
      <c r="AI5" s="313" t="s">
        <v>12</v>
      </c>
      <c r="AJ5" s="313"/>
      <c r="AK5" s="314"/>
      <c r="AL5" s="312"/>
      <c r="AM5" s="313" t="s">
        <v>7</v>
      </c>
      <c r="AN5" s="313" t="s">
        <v>12</v>
      </c>
      <c r="AO5" s="313"/>
      <c r="AP5" s="313"/>
      <c r="AQ5" s="313" t="s">
        <v>8</v>
      </c>
      <c r="AR5" s="313" t="s">
        <v>12</v>
      </c>
      <c r="AS5" s="313"/>
      <c r="AT5" s="317"/>
      <c r="AU5" s="312"/>
      <c r="AV5" s="313" t="s">
        <v>7</v>
      </c>
      <c r="AW5" s="313" t="s">
        <v>12</v>
      </c>
      <c r="AX5" s="313"/>
      <c r="AY5" s="313"/>
      <c r="AZ5" s="313" t="s">
        <v>8</v>
      </c>
      <c r="BA5" s="313" t="s">
        <v>12</v>
      </c>
      <c r="BB5" s="313"/>
      <c r="BC5" s="314"/>
      <c r="BD5" s="315"/>
      <c r="BE5" s="320" t="s">
        <v>7</v>
      </c>
      <c r="BF5" s="320" t="s">
        <v>12</v>
      </c>
      <c r="BG5" s="320"/>
      <c r="BH5" s="320"/>
      <c r="BI5" s="320" t="s">
        <v>8</v>
      </c>
      <c r="BJ5" s="320" t="s">
        <v>12</v>
      </c>
      <c r="BK5" s="320"/>
      <c r="BL5" s="321"/>
      <c r="BM5" s="312"/>
      <c r="BN5" s="313" t="s">
        <v>7</v>
      </c>
      <c r="BO5" s="313" t="s">
        <v>12</v>
      </c>
      <c r="BP5" s="313"/>
      <c r="BQ5" s="313"/>
      <c r="BR5" s="313" t="s">
        <v>8</v>
      </c>
      <c r="BS5" s="313" t="s">
        <v>12</v>
      </c>
      <c r="BT5" s="313"/>
      <c r="BU5" s="317"/>
      <c r="BV5" s="315"/>
      <c r="BW5" s="320" t="s">
        <v>7</v>
      </c>
      <c r="BX5" s="320" t="s">
        <v>12</v>
      </c>
      <c r="BY5" s="320"/>
      <c r="BZ5" s="320"/>
      <c r="CA5" s="320" t="s">
        <v>8</v>
      </c>
      <c r="CB5" s="320" t="s">
        <v>12</v>
      </c>
      <c r="CC5" s="320"/>
      <c r="CD5" s="321"/>
    </row>
    <row r="6" spans="1:82" s="4" customFormat="1" ht="13.5" customHeight="1">
      <c r="A6" s="316"/>
      <c r="B6" s="312"/>
      <c r="C6" s="313"/>
      <c r="D6" s="49" t="s">
        <v>17</v>
      </c>
      <c r="E6" s="49" t="s">
        <v>18</v>
      </c>
      <c r="F6" s="49" t="s">
        <v>19</v>
      </c>
      <c r="G6" s="313"/>
      <c r="H6" s="49" t="s">
        <v>17</v>
      </c>
      <c r="I6" s="49" t="s">
        <v>18</v>
      </c>
      <c r="J6" s="88" t="s">
        <v>19</v>
      </c>
      <c r="K6" s="312"/>
      <c r="L6" s="313"/>
      <c r="M6" s="49" t="s">
        <v>17</v>
      </c>
      <c r="N6" s="49" t="s">
        <v>18</v>
      </c>
      <c r="O6" s="49" t="s">
        <v>19</v>
      </c>
      <c r="P6" s="313"/>
      <c r="Q6" s="49" t="s">
        <v>17</v>
      </c>
      <c r="R6" s="49" t="s">
        <v>18</v>
      </c>
      <c r="S6" s="50" t="s">
        <v>19</v>
      </c>
      <c r="T6" s="322"/>
      <c r="U6" s="313"/>
      <c r="V6" s="60" t="s">
        <v>17</v>
      </c>
      <c r="W6" s="60" t="s">
        <v>18</v>
      </c>
      <c r="X6" s="60" t="s">
        <v>19</v>
      </c>
      <c r="Y6" s="313"/>
      <c r="Z6" s="60" t="s">
        <v>17</v>
      </c>
      <c r="AA6" s="60" t="s">
        <v>18</v>
      </c>
      <c r="AB6" s="61" t="s">
        <v>19</v>
      </c>
      <c r="AC6" s="312"/>
      <c r="AD6" s="313"/>
      <c r="AE6" s="49" t="s">
        <v>17</v>
      </c>
      <c r="AF6" s="49" t="s">
        <v>18</v>
      </c>
      <c r="AG6" s="49" t="s">
        <v>19</v>
      </c>
      <c r="AH6" s="313"/>
      <c r="AI6" s="49" t="s">
        <v>17</v>
      </c>
      <c r="AJ6" s="49" t="s">
        <v>18</v>
      </c>
      <c r="AK6" s="82" t="s">
        <v>19</v>
      </c>
      <c r="AL6" s="312"/>
      <c r="AM6" s="313"/>
      <c r="AN6" s="60" t="s">
        <v>17</v>
      </c>
      <c r="AO6" s="60" t="s">
        <v>18</v>
      </c>
      <c r="AP6" s="60" t="s">
        <v>19</v>
      </c>
      <c r="AQ6" s="313"/>
      <c r="AR6" s="60" t="s">
        <v>17</v>
      </c>
      <c r="AS6" s="60" t="s">
        <v>18</v>
      </c>
      <c r="AT6" s="61" t="s">
        <v>19</v>
      </c>
      <c r="AU6" s="312"/>
      <c r="AV6" s="313"/>
      <c r="AW6" s="49" t="s">
        <v>17</v>
      </c>
      <c r="AX6" s="49" t="s">
        <v>18</v>
      </c>
      <c r="AY6" s="49" t="s">
        <v>19</v>
      </c>
      <c r="AZ6" s="313"/>
      <c r="BA6" s="49" t="s">
        <v>17</v>
      </c>
      <c r="BB6" s="49" t="s">
        <v>18</v>
      </c>
      <c r="BC6" s="82" t="s">
        <v>19</v>
      </c>
      <c r="BD6" s="315"/>
      <c r="BE6" s="320"/>
      <c r="BF6" s="208" t="s">
        <v>17</v>
      </c>
      <c r="BG6" s="208" t="s">
        <v>18</v>
      </c>
      <c r="BH6" s="208" t="s">
        <v>19</v>
      </c>
      <c r="BI6" s="320"/>
      <c r="BJ6" s="208" t="s">
        <v>17</v>
      </c>
      <c r="BK6" s="208" t="s">
        <v>18</v>
      </c>
      <c r="BL6" s="209" t="s">
        <v>19</v>
      </c>
      <c r="BM6" s="312"/>
      <c r="BN6" s="313"/>
      <c r="BO6" s="49" t="s">
        <v>17</v>
      </c>
      <c r="BP6" s="49" t="s">
        <v>18</v>
      </c>
      <c r="BQ6" s="49" t="s">
        <v>19</v>
      </c>
      <c r="BR6" s="313"/>
      <c r="BS6" s="49" t="s">
        <v>17</v>
      </c>
      <c r="BT6" s="49" t="s">
        <v>18</v>
      </c>
      <c r="BU6" s="50" t="s">
        <v>19</v>
      </c>
      <c r="BV6" s="315"/>
      <c r="BW6" s="320"/>
      <c r="BX6" s="208" t="s">
        <v>17</v>
      </c>
      <c r="BY6" s="208" t="s">
        <v>18</v>
      </c>
      <c r="BZ6" s="208" t="s">
        <v>19</v>
      </c>
      <c r="CA6" s="320"/>
      <c r="CB6" s="208" t="s">
        <v>17</v>
      </c>
      <c r="CC6" s="208" t="s">
        <v>18</v>
      </c>
      <c r="CD6" s="209" t="s">
        <v>19</v>
      </c>
    </row>
    <row r="7" spans="1:82" ht="13.5">
      <c r="A7" s="73" t="s">
        <v>0</v>
      </c>
      <c r="B7" s="167">
        <f>C7+G7</f>
        <v>1174</v>
      </c>
      <c r="C7" s="168">
        <f aca="true" t="shared" si="0" ref="C7:J7">SUM(C8:C31)</f>
        <v>337</v>
      </c>
      <c r="D7" s="169">
        <f t="shared" si="0"/>
        <v>301</v>
      </c>
      <c r="E7" s="169">
        <f t="shared" si="0"/>
        <v>34</v>
      </c>
      <c r="F7" s="169">
        <f t="shared" si="0"/>
        <v>2</v>
      </c>
      <c r="G7" s="168">
        <f t="shared" si="0"/>
        <v>837</v>
      </c>
      <c r="H7" s="168">
        <f t="shared" si="0"/>
        <v>826</v>
      </c>
      <c r="I7" s="168">
        <f t="shared" si="0"/>
        <v>11</v>
      </c>
      <c r="J7" s="168">
        <f t="shared" si="0"/>
        <v>0</v>
      </c>
      <c r="K7" s="170">
        <f>L7+P7</f>
        <v>1138</v>
      </c>
      <c r="L7" s="169">
        <f>M7+N7+O7</f>
        <v>309</v>
      </c>
      <c r="M7" s="169">
        <f aca="true" t="shared" si="1" ref="M7:S7">SUM(M8:M31)</f>
        <v>277</v>
      </c>
      <c r="N7" s="168">
        <f t="shared" si="1"/>
        <v>31</v>
      </c>
      <c r="O7" s="169">
        <f t="shared" si="1"/>
        <v>1</v>
      </c>
      <c r="P7" s="168">
        <f t="shared" si="1"/>
        <v>829</v>
      </c>
      <c r="Q7" s="168">
        <f t="shared" si="1"/>
        <v>819</v>
      </c>
      <c r="R7" s="168">
        <f t="shared" si="1"/>
        <v>10</v>
      </c>
      <c r="S7" s="171">
        <f t="shared" si="1"/>
        <v>0</v>
      </c>
      <c r="T7" s="172">
        <f aca="true" t="shared" si="2" ref="T7:Y7">K7/B7*100</f>
        <v>96.9335604770017</v>
      </c>
      <c r="U7" s="173">
        <f t="shared" si="2"/>
        <v>91.69139465875371</v>
      </c>
      <c r="V7" s="173">
        <f t="shared" si="2"/>
        <v>92.02657807308971</v>
      </c>
      <c r="W7" s="173">
        <f t="shared" si="2"/>
        <v>91.17647058823529</v>
      </c>
      <c r="X7" s="173">
        <f t="shared" si="2"/>
        <v>50</v>
      </c>
      <c r="Y7" s="173">
        <f t="shared" si="2"/>
        <v>99.04420549581839</v>
      </c>
      <c r="Z7" s="174"/>
      <c r="AA7" s="174"/>
      <c r="AB7" s="175"/>
      <c r="AC7" s="170">
        <f>AD7+AH7</f>
        <v>1097</v>
      </c>
      <c r="AD7" s="169">
        <f>AE7+AF7+AG7</f>
        <v>305</v>
      </c>
      <c r="AE7" s="169">
        <f>SUM(AE8:AE31)</f>
        <v>275</v>
      </c>
      <c r="AF7" s="168">
        <f>SUM(AF8:AF31)</f>
        <v>29</v>
      </c>
      <c r="AG7" s="169">
        <f>SUM(AG8:AG31)</f>
        <v>1</v>
      </c>
      <c r="AH7" s="168">
        <f>AI7+AJ7+AK7</f>
        <v>792</v>
      </c>
      <c r="AI7" s="168">
        <f>SUM(AI8:AI31)</f>
        <v>784</v>
      </c>
      <c r="AJ7" s="168">
        <f>SUM(AJ8:AJ31)</f>
        <v>8</v>
      </c>
      <c r="AK7" s="176">
        <f>SUM(AK8:AK31)</f>
        <v>0</v>
      </c>
      <c r="AL7" s="177">
        <f>AC7/K7*100</f>
        <v>96.39718804920913</v>
      </c>
      <c r="AM7" s="173">
        <f aca="true" t="shared" si="3" ref="AM7:AM31">AD7/L7*100</f>
        <v>98.70550161812298</v>
      </c>
      <c r="AN7" s="173">
        <f aca="true" t="shared" si="4" ref="AN7:AN31">AE7/M7*100</f>
        <v>99.27797833935018</v>
      </c>
      <c r="AO7" s="173">
        <f aca="true" t="shared" si="5" ref="AO7:AO27">AF7/N7*100</f>
        <v>93.54838709677419</v>
      </c>
      <c r="AP7" s="173">
        <f>AG7/O7*100</f>
        <v>100</v>
      </c>
      <c r="AQ7" s="173">
        <f aca="true" t="shared" si="6" ref="AQ7:AQ30">AH7/P7*100</f>
        <v>95.53679131483716</v>
      </c>
      <c r="AR7" s="173">
        <f aca="true" t="shared" si="7" ref="AR7:AT22">AI7/Q7*100</f>
        <v>95.72649572649573</v>
      </c>
      <c r="AS7" s="173">
        <f t="shared" si="7"/>
        <v>80</v>
      </c>
      <c r="AT7" s="178" t="e">
        <f t="shared" si="7"/>
        <v>#DIV/0!</v>
      </c>
      <c r="AU7" s="170">
        <f>AV7+AZ7</f>
        <v>1095</v>
      </c>
      <c r="AV7" s="169">
        <f>AW7+AX7+AY7</f>
        <v>303</v>
      </c>
      <c r="AW7" s="169">
        <f>SUM(AW8:AW31)</f>
        <v>273</v>
      </c>
      <c r="AX7" s="168">
        <f>SUM(AX8:AX31)</f>
        <v>29</v>
      </c>
      <c r="AY7" s="169">
        <f>SUM(AY8:AY31)</f>
        <v>1</v>
      </c>
      <c r="AZ7" s="168">
        <f>BA7+BB7+BC7</f>
        <v>792</v>
      </c>
      <c r="BA7" s="168">
        <f>SUM(BA8:BA31)</f>
        <v>785</v>
      </c>
      <c r="BB7" s="168">
        <f>SUM(BB8:BB31)</f>
        <v>7</v>
      </c>
      <c r="BC7" s="168">
        <f>SUM(BC8:BC31)</f>
        <v>0</v>
      </c>
      <c r="BD7" s="210">
        <f aca="true" t="shared" si="8" ref="BD7:BK7">AU7/AC7*100</f>
        <v>99.81768459434822</v>
      </c>
      <c r="BE7" s="211">
        <f t="shared" si="8"/>
        <v>99.34426229508196</v>
      </c>
      <c r="BF7" s="211">
        <f t="shared" si="8"/>
        <v>99.27272727272727</v>
      </c>
      <c r="BG7" s="211">
        <f t="shared" si="8"/>
        <v>100</v>
      </c>
      <c r="BH7" s="211">
        <f t="shared" si="8"/>
        <v>100</v>
      </c>
      <c r="BI7" s="211">
        <f t="shared" si="8"/>
        <v>100</v>
      </c>
      <c r="BJ7" s="211">
        <f t="shared" si="8"/>
        <v>100.12755102040816</v>
      </c>
      <c r="BK7" s="211">
        <f t="shared" si="8"/>
        <v>87.5</v>
      </c>
      <c r="BL7" s="212">
        <v>0</v>
      </c>
      <c r="BM7" s="170">
        <f>BN7+BR7</f>
        <v>1096</v>
      </c>
      <c r="BN7" s="169">
        <f>BO7+BP7+BQ7</f>
        <v>300</v>
      </c>
      <c r="BO7" s="169">
        <f>SUM(BO8:BO31)</f>
        <v>275</v>
      </c>
      <c r="BP7" s="168">
        <f>SUM(BP8:BP31)</f>
        <v>24</v>
      </c>
      <c r="BQ7" s="169">
        <f>SUM(BQ8:BQ31)</f>
        <v>1</v>
      </c>
      <c r="BR7" s="168">
        <f>BS7+BT7+BU7</f>
        <v>796</v>
      </c>
      <c r="BS7" s="168">
        <f>SUM(BS8:BS31)</f>
        <v>791</v>
      </c>
      <c r="BT7" s="168">
        <f>SUM(BT8:BT31)</f>
        <v>5</v>
      </c>
      <c r="BU7" s="171">
        <f>SUM(BU8:BU31)</f>
        <v>0</v>
      </c>
      <c r="BV7" s="210">
        <f aca="true" t="shared" si="9" ref="BV7:BV31">BM7/AU7*100</f>
        <v>100.09132420091325</v>
      </c>
      <c r="BW7" s="211">
        <f aca="true" t="shared" si="10" ref="BW7:CC7">BN7/AV7*100</f>
        <v>99.00990099009901</v>
      </c>
      <c r="BX7" s="211">
        <f t="shared" si="10"/>
        <v>100.73260073260073</v>
      </c>
      <c r="BY7" s="211">
        <f t="shared" si="10"/>
        <v>82.75862068965517</v>
      </c>
      <c r="BZ7" s="211">
        <f t="shared" si="10"/>
        <v>100</v>
      </c>
      <c r="CA7" s="211">
        <f t="shared" si="10"/>
        <v>100.50505050505049</v>
      </c>
      <c r="CB7" s="211">
        <f t="shared" si="10"/>
        <v>100.76433121019109</v>
      </c>
      <c r="CC7" s="211">
        <f t="shared" si="10"/>
        <v>71.42857142857143</v>
      </c>
      <c r="CD7" s="221">
        <v>0</v>
      </c>
    </row>
    <row r="8" spans="1:82" ht="21" customHeight="1">
      <c r="A8" s="56" t="s">
        <v>1</v>
      </c>
      <c r="B8" s="101">
        <f>C8+G8</f>
        <v>11</v>
      </c>
      <c r="C8" s="123">
        <f>D8+E8+F8</f>
        <v>4</v>
      </c>
      <c r="D8" s="125">
        <v>4</v>
      </c>
      <c r="E8" s="71">
        <v>0</v>
      </c>
      <c r="F8" s="71">
        <v>0</v>
      </c>
      <c r="G8" s="102">
        <f>H8+I8+J8</f>
        <v>7</v>
      </c>
      <c r="H8" s="300">
        <v>7</v>
      </c>
      <c r="I8" s="300">
        <v>0</v>
      </c>
      <c r="J8" s="301"/>
      <c r="K8" s="92">
        <f>L8+P8</f>
        <v>10</v>
      </c>
      <c r="L8" s="93">
        <f>M8+N8+O8</f>
        <v>3</v>
      </c>
      <c r="M8" s="129">
        <v>3</v>
      </c>
      <c r="N8" s="129">
        <v>0</v>
      </c>
      <c r="O8" s="126">
        <v>0</v>
      </c>
      <c r="P8" s="93">
        <f>Q8+R8+S8</f>
        <v>7</v>
      </c>
      <c r="Q8" s="94">
        <v>7</v>
      </c>
      <c r="R8" s="94">
        <v>0</v>
      </c>
      <c r="S8" s="103">
        <v>0</v>
      </c>
      <c r="T8" s="100">
        <f aca="true" t="shared" si="11" ref="T8:T31">K8/B8*100</f>
        <v>90.9090909090909</v>
      </c>
      <c r="U8" s="104">
        <f aca="true" t="shared" si="12" ref="U8:U31">L8/C8*100</f>
        <v>75</v>
      </c>
      <c r="V8" s="104">
        <f>M8/D8*100</f>
        <v>75</v>
      </c>
      <c r="W8" s="104">
        <v>0</v>
      </c>
      <c r="X8" s="104">
        <v>0</v>
      </c>
      <c r="Y8" s="104">
        <f aca="true" t="shared" si="13" ref="Y8:Y30">P8/G8*100</f>
        <v>100</v>
      </c>
      <c r="Z8" s="105"/>
      <c r="AA8" s="105"/>
      <c r="AB8" s="106"/>
      <c r="AC8" s="92">
        <f>AD8+AH8</f>
        <v>9</v>
      </c>
      <c r="AD8" s="93">
        <f>AE8+AF8+AG8</f>
        <v>2</v>
      </c>
      <c r="AE8" s="129">
        <v>2</v>
      </c>
      <c r="AF8" s="129">
        <v>0</v>
      </c>
      <c r="AG8" s="126">
        <v>0</v>
      </c>
      <c r="AH8" s="93">
        <f>AI8+AJ8+AK8</f>
        <v>7</v>
      </c>
      <c r="AI8" s="94">
        <v>7</v>
      </c>
      <c r="AJ8" s="94">
        <v>0</v>
      </c>
      <c r="AK8" s="96">
        <v>0</v>
      </c>
      <c r="AL8" s="107">
        <f aca="true" t="shared" si="14" ref="AL8:AL31">AC8/K8*100</f>
        <v>90</v>
      </c>
      <c r="AM8" s="104">
        <f t="shared" si="3"/>
        <v>66.66666666666666</v>
      </c>
      <c r="AN8" s="104">
        <f t="shared" si="4"/>
        <v>66.66666666666666</v>
      </c>
      <c r="AO8" s="104"/>
      <c r="AP8" s="104"/>
      <c r="AQ8" s="104">
        <f t="shared" si="6"/>
        <v>100</v>
      </c>
      <c r="AR8" s="104">
        <f t="shared" si="7"/>
        <v>100</v>
      </c>
      <c r="AS8" s="104" t="e">
        <f t="shared" si="7"/>
        <v>#DIV/0!</v>
      </c>
      <c r="AT8" s="108" t="e">
        <f t="shared" si="7"/>
        <v>#DIV/0!</v>
      </c>
      <c r="AU8" s="92">
        <f>AV8+AZ8</f>
        <v>8</v>
      </c>
      <c r="AV8" s="93">
        <f>AW8+AX8+AY8</f>
        <v>1</v>
      </c>
      <c r="AW8" s="95">
        <v>1</v>
      </c>
      <c r="AX8" s="95">
        <v>0</v>
      </c>
      <c r="AY8" s="94">
        <v>0</v>
      </c>
      <c r="AZ8" s="93">
        <f>BA8+BB8+BC8</f>
        <v>7</v>
      </c>
      <c r="BA8" s="94">
        <v>7</v>
      </c>
      <c r="BB8" s="94">
        <v>0</v>
      </c>
      <c r="BC8" s="96">
        <v>0</v>
      </c>
      <c r="BD8" s="213">
        <f aca="true" t="shared" si="15" ref="BD8:BD31">AU8/AC8*100</f>
        <v>88.88888888888889</v>
      </c>
      <c r="BE8" s="214">
        <f aca="true" t="shared" si="16" ref="BE8:BE31">AV8/AD8*100</f>
        <v>50</v>
      </c>
      <c r="BF8" s="215">
        <f aca="true" t="shared" si="17" ref="BF8:BF31">AW8/AE8*100</f>
        <v>50</v>
      </c>
      <c r="BG8" s="215">
        <v>0</v>
      </c>
      <c r="BH8" s="215">
        <v>0</v>
      </c>
      <c r="BI8" s="214">
        <f aca="true" t="shared" si="18" ref="BI8:BI30">AZ8/AH8*100</f>
        <v>100</v>
      </c>
      <c r="BJ8" s="215">
        <f aca="true" t="shared" si="19" ref="BJ8:BJ30">BA8/AI8*100</f>
        <v>100</v>
      </c>
      <c r="BK8" s="215">
        <v>0</v>
      </c>
      <c r="BL8" s="216">
        <v>0</v>
      </c>
      <c r="BM8" s="92">
        <f>BN8+BR8</f>
        <v>9</v>
      </c>
      <c r="BN8" s="93">
        <f>BO8+BP8+BQ8</f>
        <v>1</v>
      </c>
      <c r="BO8" s="95">
        <v>1</v>
      </c>
      <c r="BP8" s="95">
        <v>0</v>
      </c>
      <c r="BQ8" s="94">
        <v>0</v>
      </c>
      <c r="BR8" s="93">
        <f>BS8+BT8+BU8</f>
        <v>8</v>
      </c>
      <c r="BS8" s="94">
        <v>8</v>
      </c>
      <c r="BT8" s="94">
        <v>0</v>
      </c>
      <c r="BU8" s="113">
        <v>0</v>
      </c>
      <c r="BV8" s="213">
        <f t="shared" si="9"/>
        <v>112.5</v>
      </c>
      <c r="BW8" s="214">
        <f>BN8/AV8*100</f>
        <v>100</v>
      </c>
      <c r="BX8" s="215">
        <f>BO8/AW8*100</f>
        <v>100</v>
      </c>
      <c r="BY8" s="215">
        <v>0</v>
      </c>
      <c r="BZ8" s="215">
        <v>0</v>
      </c>
      <c r="CA8" s="214">
        <f>BR8/AZ8*100</f>
        <v>114.28571428571428</v>
      </c>
      <c r="CB8" s="215">
        <f>BS8/BA8*100</f>
        <v>114.28571428571428</v>
      </c>
      <c r="CC8" s="215">
        <v>0</v>
      </c>
      <c r="CD8" s="216">
        <v>0</v>
      </c>
    </row>
    <row r="9" spans="1:82" ht="21.75" customHeight="1">
      <c r="A9" s="56" t="s">
        <v>2</v>
      </c>
      <c r="B9" s="101">
        <f aca="true" t="shared" si="20" ref="B9:B31">C9+G9</f>
        <v>3</v>
      </c>
      <c r="C9" s="123">
        <f aca="true" t="shared" si="21" ref="C9:C31">D9+E9+F9</f>
        <v>2</v>
      </c>
      <c r="D9" s="125">
        <v>1</v>
      </c>
      <c r="E9" s="16">
        <v>1</v>
      </c>
      <c r="F9" s="16">
        <v>0</v>
      </c>
      <c r="G9" s="102">
        <f aca="true" t="shared" si="22" ref="G9:G31">H9+I9+J9</f>
        <v>1</v>
      </c>
      <c r="H9" s="300">
        <v>1</v>
      </c>
      <c r="I9" s="300">
        <v>0</v>
      </c>
      <c r="J9" s="301"/>
      <c r="K9" s="92">
        <f aca="true" t="shared" si="23" ref="K9:K31">L9+P9</f>
        <v>5</v>
      </c>
      <c r="L9" s="93">
        <f>M9+N9+O9</f>
        <v>2</v>
      </c>
      <c r="M9" s="129">
        <v>2</v>
      </c>
      <c r="N9" s="129">
        <v>0</v>
      </c>
      <c r="O9" s="126">
        <v>0</v>
      </c>
      <c r="P9" s="93">
        <f aca="true" t="shared" si="24" ref="P9:P31">Q9+R9+S9</f>
        <v>3</v>
      </c>
      <c r="Q9" s="94">
        <v>3</v>
      </c>
      <c r="R9" s="94">
        <v>0</v>
      </c>
      <c r="S9" s="103">
        <v>0</v>
      </c>
      <c r="T9" s="100">
        <f t="shared" si="11"/>
        <v>166.66666666666669</v>
      </c>
      <c r="U9" s="104">
        <f t="shared" si="12"/>
        <v>100</v>
      </c>
      <c r="V9" s="104">
        <f>M9/D9*100</f>
        <v>200</v>
      </c>
      <c r="W9" s="104">
        <v>0</v>
      </c>
      <c r="X9" s="104">
        <v>0</v>
      </c>
      <c r="Y9" s="104">
        <f t="shared" si="13"/>
        <v>300</v>
      </c>
      <c r="Z9" s="105"/>
      <c r="AA9" s="105"/>
      <c r="AB9" s="106"/>
      <c r="AC9" s="92">
        <f aca="true" t="shared" si="25" ref="AC9:AC31">AD9+AH9</f>
        <v>6</v>
      </c>
      <c r="AD9" s="93">
        <f>AE9+AF9+AG9</f>
        <v>2</v>
      </c>
      <c r="AE9" s="129">
        <v>2</v>
      </c>
      <c r="AF9" s="129">
        <v>0</v>
      </c>
      <c r="AG9" s="126">
        <v>0</v>
      </c>
      <c r="AH9" s="93">
        <f aca="true" t="shared" si="26" ref="AH9:AH31">AI9+AJ9+AK9</f>
        <v>4</v>
      </c>
      <c r="AI9" s="94">
        <v>4</v>
      </c>
      <c r="AJ9" s="94">
        <v>0</v>
      </c>
      <c r="AK9" s="96">
        <v>0</v>
      </c>
      <c r="AL9" s="107">
        <f t="shared" si="14"/>
        <v>120</v>
      </c>
      <c r="AM9" s="104">
        <f t="shared" si="3"/>
        <v>100</v>
      </c>
      <c r="AN9" s="104">
        <f t="shared" si="4"/>
        <v>100</v>
      </c>
      <c r="AO9" s="104"/>
      <c r="AP9" s="104"/>
      <c r="AQ9" s="104">
        <f t="shared" si="6"/>
        <v>133.33333333333331</v>
      </c>
      <c r="AR9" s="104">
        <f t="shared" si="7"/>
        <v>133.33333333333331</v>
      </c>
      <c r="AS9" s="104" t="e">
        <f t="shared" si="7"/>
        <v>#DIV/0!</v>
      </c>
      <c r="AT9" s="108" t="e">
        <f t="shared" si="7"/>
        <v>#DIV/0!</v>
      </c>
      <c r="AU9" s="92">
        <f aca="true" t="shared" si="27" ref="AU9:AU31">AV9+AZ9</f>
        <v>6</v>
      </c>
      <c r="AV9" s="93">
        <f>AW9+AX9+AY9</f>
        <v>2</v>
      </c>
      <c r="AW9" s="95">
        <v>2</v>
      </c>
      <c r="AX9" s="95">
        <v>0</v>
      </c>
      <c r="AY9" s="94">
        <v>0</v>
      </c>
      <c r="AZ9" s="93">
        <f aca="true" t="shared" si="28" ref="AZ9:AZ31">BA9+BB9+BC9</f>
        <v>4</v>
      </c>
      <c r="BA9" s="94">
        <v>4</v>
      </c>
      <c r="BB9" s="94">
        <v>0</v>
      </c>
      <c r="BC9" s="96">
        <v>0</v>
      </c>
      <c r="BD9" s="213">
        <f t="shared" si="15"/>
        <v>100</v>
      </c>
      <c r="BE9" s="214">
        <f t="shared" si="16"/>
        <v>100</v>
      </c>
      <c r="BF9" s="215">
        <f t="shared" si="17"/>
        <v>100</v>
      </c>
      <c r="BG9" s="215">
        <v>0</v>
      </c>
      <c r="BH9" s="215">
        <v>0</v>
      </c>
      <c r="BI9" s="214">
        <f t="shared" si="18"/>
        <v>100</v>
      </c>
      <c r="BJ9" s="215">
        <f t="shared" si="19"/>
        <v>100</v>
      </c>
      <c r="BK9" s="215">
        <v>0</v>
      </c>
      <c r="BL9" s="216">
        <v>0</v>
      </c>
      <c r="BM9" s="92">
        <f aca="true" t="shared" si="29" ref="BM9:BM31">BN9+BR9</f>
        <v>7</v>
      </c>
      <c r="BN9" s="93">
        <f>BO9+BP9+BQ9</f>
        <v>3</v>
      </c>
      <c r="BO9" s="95">
        <v>3</v>
      </c>
      <c r="BP9" s="95">
        <v>0</v>
      </c>
      <c r="BQ9" s="94">
        <v>0</v>
      </c>
      <c r="BR9" s="93">
        <f aca="true" t="shared" si="30" ref="BR9:BR31">BS9+BT9+BU9</f>
        <v>4</v>
      </c>
      <c r="BS9" s="94">
        <v>4</v>
      </c>
      <c r="BT9" s="94">
        <v>0</v>
      </c>
      <c r="BU9" s="113">
        <v>0</v>
      </c>
      <c r="BV9" s="213">
        <f t="shared" si="9"/>
        <v>116.66666666666667</v>
      </c>
      <c r="BW9" s="214">
        <f>BN9/AV9*100</f>
        <v>150</v>
      </c>
      <c r="BX9" s="215">
        <f>BO9/AW9*100</f>
        <v>150</v>
      </c>
      <c r="BY9" s="215">
        <v>0</v>
      </c>
      <c r="BZ9" s="215">
        <v>0</v>
      </c>
      <c r="CA9" s="214">
        <f>BR9/AZ9*100</f>
        <v>100</v>
      </c>
      <c r="CB9" s="215">
        <f>BS9/BA9*100</f>
        <v>100</v>
      </c>
      <c r="CC9" s="215">
        <v>0</v>
      </c>
      <c r="CD9" s="216">
        <v>0</v>
      </c>
    </row>
    <row r="10" spans="1:82" ht="21.75" customHeight="1">
      <c r="A10" s="56" t="s">
        <v>3</v>
      </c>
      <c r="B10" s="101">
        <f t="shared" si="20"/>
        <v>1</v>
      </c>
      <c r="C10" s="123">
        <f t="shared" si="21"/>
        <v>1</v>
      </c>
      <c r="D10" s="125">
        <v>0</v>
      </c>
      <c r="E10" s="16">
        <v>1</v>
      </c>
      <c r="F10" s="16">
        <v>0</v>
      </c>
      <c r="G10" s="102">
        <f t="shared" si="22"/>
        <v>0</v>
      </c>
      <c r="H10" s="300">
        <v>0</v>
      </c>
      <c r="I10" s="300">
        <v>0</v>
      </c>
      <c r="J10" s="301"/>
      <c r="K10" s="92">
        <f t="shared" si="23"/>
        <v>1</v>
      </c>
      <c r="L10" s="93">
        <f aca="true" t="shared" si="31" ref="L10:L31">M10+N10+O10</f>
        <v>1</v>
      </c>
      <c r="M10" s="129">
        <v>0</v>
      </c>
      <c r="N10" s="129">
        <v>1</v>
      </c>
      <c r="O10" s="126">
        <v>0</v>
      </c>
      <c r="P10" s="93">
        <f t="shared" si="24"/>
        <v>0</v>
      </c>
      <c r="Q10" s="94">
        <v>0</v>
      </c>
      <c r="R10" s="94">
        <v>0</v>
      </c>
      <c r="S10" s="103">
        <v>0</v>
      </c>
      <c r="T10" s="100">
        <f t="shared" si="11"/>
        <v>100</v>
      </c>
      <c r="U10" s="104">
        <f t="shared" si="12"/>
        <v>100</v>
      </c>
      <c r="V10" s="104">
        <v>0</v>
      </c>
      <c r="W10" s="104">
        <f aca="true" t="shared" si="32" ref="W10:W27">N10/E10*100</f>
        <v>100</v>
      </c>
      <c r="X10" s="104">
        <v>0</v>
      </c>
      <c r="Y10" s="104">
        <v>0</v>
      </c>
      <c r="Z10" s="105"/>
      <c r="AA10" s="105"/>
      <c r="AB10" s="106"/>
      <c r="AC10" s="92">
        <f t="shared" si="25"/>
        <v>1</v>
      </c>
      <c r="AD10" s="93">
        <f aca="true" t="shared" si="33" ref="AD10:AD31">AE10+AF10+AG10</f>
        <v>1</v>
      </c>
      <c r="AE10" s="129">
        <v>0</v>
      </c>
      <c r="AF10" s="129">
        <v>1</v>
      </c>
      <c r="AG10" s="126">
        <v>0</v>
      </c>
      <c r="AH10" s="93">
        <f t="shared" si="26"/>
        <v>0</v>
      </c>
      <c r="AI10" s="94">
        <v>0</v>
      </c>
      <c r="AJ10" s="94">
        <v>0</v>
      </c>
      <c r="AK10" s="96">
        <v>0</v>
      </c>
      <c r="AL10" s="107">
        <f t="shared" si="14"/>
        <v>100</v>
      </c>
      <c r="AM10" s="104">
        <f t="shared" si="3"/>
        <v>100</v>
      </c>
      <c r="AN10" s="104"/>
      <c r="AO10" s="104">
        <f t="shared" si="5"/>
        <v>100</v>
      </c>
      <c r="AP10" s="104"/>
      <c r="AQ10" s="104"/>
      <c r="AR10" s="104" t="e">
        <f t="shared" si="7"/>
        <v>#DIV/0!</v>
      </c>
      <c r="AS10" s="104" t="e">
        <f t="shared" si="7"/>
        <v>#DIV/0!</v>
      </c>
      <c r="AT10" s="108" t="e">
        <f t="shared" si="7"/>
        <v>#DIV/0!</v>
      </c>
      <c r="AU10" s="92">
        <f t="shared" si="27"/>
        <v>1</v>
      </c>
      <c r="AV10" s="93">
        <f aca="true" t="shared" si="34" ref="AV10:AV31">AW10+AX10+AY10</f>
        <v>1</v>
      </c>
      <c r="AW10" s="95">
        <v>0</v>
      </c>
      <c r="AX10" s="95">
        <v>1</v>
      </c>
      <c r="AY10" s="94">
        <v>0</v>
      </c>
      <c r="AZ10" s="93">
        <f t="shared" si="28"/>
        <v>0</v>
      </c>
      <c r="BA10" s="94">
        <v>0</v>
      </c>
      <c r="BB10" s="94">
        <v>0</v>
      </c>
      <c r="BC10" s="96">
        <v>0</v>
      </c>
      <c r="BD10" s="213">
        <f t="shared" si="15"/>
        <v>100</v>
      </c>
      <c r="BE10" s="214">
        <f t="shared" si="16"/>
        <v>100</v>
      </c>
      <c r="BF10" s="215">
        <v>0</v>
      </c>
      <c r="BG10" s="215">
        <f aca="true" t="shared" si="35" ref="BG10:BG27">AX10/AF10*100</f>
        <v>100</v>
      </c>
      <c r="BH10" s="215">
        <v>0</v>
      </c>
      <c r="BI10" s="214">
        <v>0</v>
      </c>
      <c r="BJ10" s="215">
        <v>0</v>
      </c>
      <c r="BK10" s="215">
        <v>0</v>
      </c>
      <c r="BL10" s="216">
        <v>0</v>
      </c>
      <c r="BM10" s="92">
        <f t="shared" si="29"/>
        <v>1</v>
      </c>
      <c r="BN10" s="93">
        <f aca="true" t="shared" si="36" ref="BN10:BN31">BO10+BP10+BQ10</f>
        <v>1</v>
      </c>
      <c r="BO10" s="95">
        <v>0</v>
      </c>
      <c r="BP10" s="95">
        <v>1</v>
      </c>
      <c r="BQ10" s="94">
        <v>0</v>
      </c>
      <c r="BR10" s="93">
        <f t="shared" si="30"/>
        <v>0</v>
      </c>
      <c r="BS10" s="94">
        <v>0</v>
      </c>
      <c r="BT10" s="94">
        <v>0</v>
      </c>
      <c r="BU10" s="113">
        <v>0</v>
      </c>
      <c r="BV10" s="213">
        <f t="shared" si="9"/>
        <v>100</v>
      </c>
      <c r="BW10" s="214">
        <f>BN10/AV10*100</f>
        <v>100</v>
      </c>
      <c r="BX10" s="215">
        <v>0</v>
      </c>
      <c r="BY10" s="215">
        <f>BP10/AX10*100</f>
        <v>100</v>
      </c>
      <c r="BZ10" s="215">
        <v>0</v>
      </c>
      <c r="CA10" s="214">
        <v>0</v>
      </c>
      <c r="CB10" s="215">
        <v>0</v>
      </c>
      <c r="CC10" s="215">
        <v>0</v>
      </c>
      <c r="CD10" s="216">
        <v>0</v>
      </c>
    </row>
    <row r="11" spans="1:82" ht="23.25" customHeight="1">
      <c r="A11" s="56" t="s">
        <v>36</v>
      </c>
      <c r="B11" s="101">
        <f t="shared" si="20"/>
        <v>1</v>
      </c>
      <c r="C11" s="123">
        <f t="shared" si="21"/>
        <v>1</v>
      </c>
      <c r="D11" s="125">
        <v>1</v>
      </c>
      <c r="E11" s="16">
        <v>0</v>
      </c>
      <c r="F11" s="16">
        <v>0</v>
      </c>
      <c r="G11" s="102">
        <f t="shared" si="22"/>
        <v>0</v>
      </c>
      <c r="H11" s="300">
        <v>0</v>
      </c>
      <c r="I11" s="300">
        <v>0</v>
      </c>
      <c r="J11" s="301"/>
      <c r="K11" s="92">
        <f t="shared" si="23"/>
        <v>1</v>
      </c>
      <c r="L11" s="93">
        <f t="shared" si="31"/>
        <v>0</v>
      </c>
      <c r="M11" s="129">
        <v>0</v>
      </c>
      <c r="N11" s="129">
        <v>0</v>
      </c>
      <c r="O11" s="126">
        <v>0</v>
      </c>
      <c r="P11" s="93">
        <f t="shared" si="24"/>
        <v>1</v>
      </c>
      <c r="Q11" s="94">
        <v>1</v>
      </c>
      <c r="R11" s="94">
        <v>0</v>
      </c>
      <c r="S11" s="103">
        <v>0</v>
      </c>
      <c r="T11" s="100">
        <f t="shared" si="11"/>
        <v>100</v>
      </c>
      <c r="U11" s="104">
        <v>0</v>
      </c>
      <c r="V11" s="104">
        <v>0</v>
      </c>
      <c r="W11" s="104">
        <v>0</v>
      </c>
      <c r="X11" s="104">
        <v>0</v>
      </c>
      <c r="Y11" s="104" t="e">
        <f t="shared" si="13"/>
        <v>#DIV/0!</v>
      </c>
      <c r="Z11" s="105"/>
      <c r="AA11" s="105"/>
      <c r="AB11" s="106"/>
      <c r="AC11" s="92">
        <f t="shared" si="25"/>
        <v>1</v>
      </c>
      <c r="AD11" s="93">
        <f t="shared" si="33"/>
        <v>0</v>
      </c>
      <c r="AE11" s="129">
        <v>0</v>
      </c>
      <c r="AF11" s="129">
        <v>0</v>
      </c>
      <c r="AG11" s="126">
        <v>0</v>
      </c>
      <c r="AH11" s="93">
        <f t="shared" si="26"/>
        <v>1</v>
      </c>
      <c r="AI11" s="94">
        <v>1</v>
      </c>
      <c r="AJ11" s="94">
        <v>0</v>
      </c>
      <c r="AK11" s="96">
        <v>0</v>
      </c>
      <c r="AL11" s="107">
        <f t="shared" si="14"/>
        <v>100</v>
      </c>
      <c r="AM11" s="104"/>
      <c r="AN11" s="104"/>
      <c r="AO11" s="104"/>
      <c r="AP11" s="104"/>
      <c r="AQ11" s="104">
        <f t="shared" si="6"/>
        <v>100</v>
      </c>
      <c r="AR11" s="104">
        <f t="shared" si="7"/>
        <v>100</v>
      </c>
      <c r="AS11" s="104" t="e">
        <f t="shared" si="7"/>
        <v>#DIV/0!</v>
      </c>
      <c r="AT11" s="108" t="e">
        <f t="shared" si="7"/>
        <v>#DIV/0!</v>
      </c>
      <c r="AU11" s="92">
        <f t="shared" si="27"/>
        <v>1</v>
      </c>
      <c r="AV11" s="93">
        <f t="shared" si="34"/>
        <v>0</v>
      </c>
      <c r="AW11" s="95">
        <v>0</v>
      </c>
      <c r="AX11" s="95">
        <v>0</v>
      </c>
      <c r="AY11" s="94">
        <v>0</v>
      </c>
      <c r="AZ11" s="93">
        <f t="shared" si="28"/>
        <v>1</v>
      </c>
      <c r="BA11" s="94">
        <v>1</v>
      </c>
      <c r="BB11" s="94">
        <v>0</v>
      </c>
      <c r="BC11" s="96">
        <v>0</v>
      </c>
      <c r="BD11" s="213">
        <f t="shared" si="15"/>
        <v>100</v>
      </c>
      <c r="BE11" s="214">
        <v>0</v>
      </c>
      <c r="BF11" s="215">
        <v>0</v>
      </c>
      <c r="BG11" s="215">
        <v>0</v>
      </c>
      <c r="BH11" s="215">
        <v>0</v>
      </c>
      <c r="BI11" s="214">
        <f t="shared" si="18"/>
        <v>100</v>
      </c>
      <c r="BJ11" s="215">
        <f t="shared" si="19"/>
        <v>100</v>
      </c>
      <c r="BK11" s="215">
        <v>0</v>
      </c>
      <c r="BL11" s="216">
        <v>0</v>
      </c>
      <c r="BM11" s="92">
        <f t="shared" si="29"/>
        <v>0</v>
      </c>
      <c r="BN11" s="93">
        <f t="shared" si="36"/>
        <v>0</v>
      </c>
      <c r="BO11" s="95">
        <v>0</v>
      </c>
      <c r="BP11" s="95">
        <v>0</v>
      </c>
      <c r="BQ11" s="94">
        <v>0</v>
      </c>
      <c r="BR11" s="93">
        <f t="shared" si="30"/>
        <v>0</v>
      </c>
      <c r="BS11" s="94">
        <v>0</v>
      </c>
      <c r="BT11" s="94">
        <v>0</v>
      </c>
      <c r="BU11" s="113">
        <v>0</v>
      </c>
      <c r="BV11" s="213">
        <f t="shared" si="9"/>
        <v>0</v>
      </c>
      <c r="BW11" s="214">
        <v>0</v>
      </c>
      <c r="BX11" s="215">
        <v>0</v>
      </c>
      <c r="BY11" s="215">
        <v>0</v>
      </c>
      <c r="BZ11" s="215">
        <v>0</v>
      </c>
      <c r="CA11" s="214">
        <f>BR11/AZ11*100</f>
        <v>0</v>
      </c>
      <c r="CB11" s="215">
        <f>BS11/BA11*100</f>
        <v>0</v>
      </c>
      <c r="CC11" s="215">
        <v>0</v>
      </c>
      <c r="CD11" s="216">
        <v>0</v>
      </c>
    </row>
    <row r="12" spans="1:82" ht="21" customHeight="1">
      <c r="A12" s="56" t="s">
        <v>4</v>
      </c>
      <c r="B12" s="101">
        <f t="shared" si="20"/>
        <v>77</v>
      </c>
      <c r="C12" s="123">
        <f t="shared" si="21"/>
        <v>39</v>
      </c>
      <c r="D12" s="118">
        <v>31</v>
      </c>
      <c r="E12" s="118">
        <v>7</v>
      </c>
      <c r="F12" s="118">
        <v>1</v>
      </c>
      <c r="G12" s="102">
        <f t="shared" si="22"/>
        <v>38</v>
      </c>
      <c r="H12" s="300">
        <v>37</v>
      </c>
      <c r="I12" s="300">
        <v>1</v>
      </c>
      <c r="J12" s="301"/>
      <c r="K12" s="92">
        <f t="shared" si="23"/>
        <v>76</v>
      </c>
      <c r="L12" s="93">
        <f t="shared" si="31"/>
        <v>37</v>
      </c>
      <c r="M12" s="129">
        <v>31</v>
      </c>
      <c r="N12" s="129">
        <v>6</v>
      </c>
      <c r="O12" s="126">
        <v>0</v>
      </c>
      <c r="P12" s="93">
        <f t="shared" si="24"/>
        <v>39</v>
      </c>
      <c r="Q12" s="94">
        <v>38</v>
      </c>
      <c r="R12" s="94">
        <v>1</v>
      </c>
      <c r="S12" s="103">
        <v>0</v>
      </c>
      <c r="T12" s="100">
        <f t="shared" si="11"/>
        <v>98.7012987012987</v>
      </c>
      <c r="U12" s="104">
        <f t="shared" si="12"/>
        <v>94.87179487179486</v>
      </c>
      <c r="V12" s="104">
        <f aca="true" t="shared" si="37" ref="V12:V31">M12/D12*100</f>
        <v>100</v>
      </c>
      <c r="W12" s="104">
        <f t="shared" si="32"/>
        <v>85.71428571428571</v>
      </c>
      <c r="X12" s="104">
        <f>O12/F12*100</f>
        <v>0</v>
      </c>
      <c r="Y12" s="104">
        <f t="shared" si="13"/>
        <v>102.63157894736842</v>
      </c>
      <c r="Z12" s="105"/>
      <c r="AA12" s="105"/>
      <c r="AB12" s="106"/>
      <c r="AC12" s="92">
        <f t="shared" si="25"/>
        <v>70</v>
      </c>
      <c r="AD12" s="93">
        <f t="shared" si="33"/>
        <v>40</v>
      </c>
      <c r="AE12" s="129">
        <v>34</v>
      </c>
      <c r="AF12" s="129">
        <v>5</v>
      </c>
      <c r="AG12" s="126">
        <v>1</v>
      </c>
      <c r="AH12" s="93">
        <f t="shared" si="26"/>
        <v>30</v>
      </c>
      <c r="AI12" s="94">
        <v>29</v>
      </c>
      <c r="AJ12" s="94">
        <v>1</v>
      </c>
      <c r="AK12" s="96">
        <v>0</v>
      </c>
      <c r="AL12" s="107">
        <f t="shared" si="14"/>
        <v>92.10526315789474</v>
      </c>
      <c r="AM12" s="104">
        <f t="shared" si="3"/>
        <v>108.10810810810811</v>
      </c>
      <c r="AN12" s="104">
        <f t="shared" si="4"/>
        <v>109.6774193548387</v>
      </c>
      <c r="AO12" s="104">
        <f t="shared" si="5"/>
        <v>83.33333333333334</v>
      </c>
      <c r="AP12" s="104"/>
      <c r="AQ12" s="104">
        <f t="shared" si="6"/>
        <v>76.92307692307693</v>
      </c>
      <c r="AR12" s="104">
        <f t="shared" si="7"/>
        <v>76.31578947368422</v>
      </c>
      <c r="AS12" s="104">
        <f t="shared" si="7"/>
        <v>100</v>
      </c>
      <c r="AT12" s="108" t="e">
        <f t="shared" si="7"/>
        <v>#DIV/0!</v>
      </c>
      <c r="AU12" s="92">
        <f t="shared" si="27"/>
        <v>74</v>
      </c>
      <c r="AV12" s="93">
        <f t="shared" si="34"/>
        <v>44</v>
      </c>
      <c r="AW12" s="95">
        <v>38</v>
      </c>
      <c r="AX12" s="95">
        <v>5</v>
      </c>
      <c r="AY12" s="94">
        <v>1</v>
      </c>
      <c r="AZ12" s="93">
        <f t="shared" si="28"/>
        <v>30</v>
      </c>
      <c r="BA12" s="94">
        <v>29</v>
      </c>
      <c r="BB12" s="94">
        <v>1</v>
      </c>
      <c r="BC12" s="96">
        <v>0</v>
      </c>
      <c r="BD12" s="213">
        <f t="shared" si="15"/>
        <v>105.71428571428572</v>
      </c>
      <c r="BE12" s="214">
        <f t="shared" si="16"/>
        <v>110.00000000000001</v>
      </c>
      <c r="BF12" s="215">
        <f t="shared" si="17"/>
        <v>111.76470588235294</v>
      </c>
      <c r="BG12" s="215">
        <f t="shared" si="35"/>
        <v>100</v>
      </c>
      <c r="BH12" s="215">
        <f>AY12/AG12*100</f>
        <v>100</v>
      </c>
      <c r="BI12" s="214">
        <f t="shared" si="18"/>
        <v>100</v>
      </c>
      <c r="BJ12" s="215">
        <f t="shared" si="19"/>
        <v>100</v>
      </c>
      <c r="BK12" s="215">
        <f aca="true" t="shared" si="38" ref="BK12:BK19">BB12/AJ12*100</f>
        <v>100</v>
      </c>
      <c r="BL12" s="216">
        <v>0</v>
      </c>
      <c r="BM12" s="92">
        <f t="shared" si="29"/>
        <v>72</v>
      </c>
      <c r="BN12" s="93">
        <f t="shared" si="36"/>
        <v>39</v>
      </c>
      <c r="BO12" s="95">
        <v>33</v>
      </c>
      <c r="BP12" s="95">
        <v>5</v>
      </c>
      <c r="BQ12" s="94">
        <v>1</v>
      </c>
      <c r="BR12" s="93">
        <f t="shared" si="30"/>
        <v>33</v>
      </c>
      <c r="BS12" s="94">
        <v>32</v>
      </c>
      <c r="BT12" s="94">
        <v>1</v>
      </c>
      <c r="BU12" s="113">
        <v>0</v>
      </c>
      <c r="BV12" s="213">
        <f t="shared" si="9"/>
        <v>97.2972972972973</v>
      </c>
      <c r="BW12" s="214">
        <f aca="true" t="shared" si="39" ref="BW12:BW31">BN12/AV12*100</f>
        <v>88.63636363636364</v>
      </c>
      <c r="BX12" s="215">
        <f aca="true" t="shared" si="40" ref="BX12:BX31">BO12/AW12*100</f>
        <v>86.8421052631579</v>
      </c>
      <c r="BY12" s="215">
        <f>BP12/AX12*100</f>
        <v>100</v>
      </c>
      <c r="BZ12" s="215">
        <f>BQ12/AY12*100</f>
        <v>100</v>
      </c>
      <c r="CA12" s="214">
        <f>BR12/AZ12*100</f>
        <v>110.00000000000001</v>
      </c>
      <c r="CB12" s="215">
        <f>BS12/BA12*100</f>
        <v>110.34482758620689</v>
      </c>
      <c r="CC12" s="215">
        <f>BT12/BB12*100</f>
        <v>100</v>
      </c>
      <c r="CD12" s="216">
        <v>0</v>
      </c>
    </row>
    <row r="13" spans="1:82" ht="21" customHeight="1">
      <c r="A13" s="56" t="s">
        <v>13</v>
      </c>
      <c r="B13" s="101">
        <f t="shared" si="20"/>
        <v>3</v>
      </c>
      <c r="C13" s="123">
        <f t="shared" si="21"/>
        <v>3</v>
      </c>
      <c r="D13" s="125">
        <v>3</v>
      </c>
      <c r="E13" s="16">
        <v>0</v>
      </c>
      <c r="F13" s="16">
        <v>0</v>
      </c>
      <c r="G13" s="102">
        <f t="shared" si="22"/>
        <v>0</v>
      </c>
      <c r="H13" s="300">
        <v>0</v>
      </c>
      <c r="I13" s="300">
        <v>0</v>
      </c>
      <c r="J13" s="301"/>
      <c r="K13" s="92">
        <f t="shared" si="23"/>
        <v>2</v>
      </c>
      <c r="L13" s="93">
        <f t="shared" si="31"/>
        <v>2</v>
      </c>
      <c r="M13" s="129">
        <v>2</v>
      </c>
      <c r="N13" s="129">
        <v>0</v>
      </c>
      <c r="O13" s="126">
        <v>0</v>
      </c>
      <c r="P13" s="93">
        <f t="shared" si="24"/>
        <v>0</v>
      </c>
      <c r="Q13" s="94">
        <v>0</v>
      </c>
      <c r="R13" s="94">
        <v>0</v>
      </c>
      <c r="S13" s="103">
        <v>0</v>
      </c>
      <c r="T13" s="100">
        <f t="shared" si="11"/>
        <v>66.66666666666666</v>
      </c>
      <c r="U13" s="104">
        <f t="shared" si="12"/>
        <v>66.66666666666666</v>
      </c>
      <c r="V13" s="104">
        <f t="shared" si="37"/>
        <v>66.66666666666666</v>
      </c>
      <c r="W13" s="104">
        <v>0</v>
      </c>
      <c r="X13" s="104">
        <v>0</v>
      </c>
      <c r="Y13" s="104">
        <v>0</v>
      </c>
      <c r="Z13" s="105"/>
      <c r="AA13" s="105"/>
      <c r="AB13" s="106"/>
      <c r="AC13" s="92">
        <f t="shared" si="25"/>
        <v>2</v>
      </c>
      <c r="AD13" s="93">
        <f t="shared" si="33"/>
        <v>2</v>
      </c>
      <c r="AE13" s="129">
        <v>2</v>
      </c>
      <c r="AF13" s="129">
        <v>0</v>
      </c>
      <c r="AG13" s="126">
        <v>0</v>
      </c>
      <c r="AH13" s="93">
        <f t="shared" si="26"/>
        <v>0</v>
      </c>
      <c r="AI13" s="94">
        <v>0</v>
      </c>
      <c r="AJ13" s="94">
        <v>0</v>
      </c>
      <c r="AK13" s="96">
        <v>0</v>
      </c>
      <c r="AL13" s="107">
        <f t="shared" si="14"/>
        <v>100</v>
      </c>
      <c r="AM13" s="104">
        <f t="shared" si="3"/>
        <v>100</v>
      </c>
      <c r="AN13" s="104">
        <f t="shared" si="4"/>
        <v>100</v>
      </c>
      <c r="AO13" s="104"/>
      <c r="AP13" s="104"/>
      <c r="AQ13" s="104"/>
      <c r="AR13" s="104" t="e">
        <f t="shared" si="7"/>
        <v>#DIV/0!</v>
      </c>
      <c r="AS13" s="104" t="e">
        <f t="shared" si="7"/>
        <v>#DIV/0!</v>
      </c>
      <c r="AT13" s="108" t="e">
        <f t="shared" si="7"/>
        <v>#DIV/0!</v>
      </c>
      <c r="AU13" s="92">
        <f t="shared" si="27"/>
        <v>3</v>
      </c>
      <c r="AV13" s="93">
        <f t="shared" si="34"/>
        <v>3</v>
      </c>
      <c r="AW13" s="95">
        <v>3</v>
      </c>
      <c r="AX13" s="95">
        <v>0</v>
      </c>
      <c r="AY13" s="94">
        <v>0</v>
      </c>
      <c r="AZ13" s="93">
        <f t="shared" si="28"/>
        <v>0</v>
      </c>
      <c r="BA13" s="94">
        <v>0</v>
      </c>
      <c r="BB13" s="94">
        <v>0</v>
      </c>
      <c r="BC13" s="96">
        <v>0</v>
      </c>
      <c r="BD13" s="213">
        <f t="shared" si="15"/>
        <v>150</v>
      </c>
      <c r="BE13" s="214">
        <f t="shared" si="16"/>
        <v>150</v>
      </c>
      <c r="BF13" s="215">
        <f t="shared" si="17"/>
        <v>150</v>
      </c>
      <c r="BG13" s="215">
        <v>0</v>
      </c>
      <c r="BH13" s="215">
        <v>0</v>
      </c>
      <c r="BI13" s="214">
        <v>0</v>
      </c>
      <c r="BJ13" s="215">
        <v>0</v>
      </c>
      <c r="BK13" s="215">
        <v>0</v>
      </c>
      <c r="BL13" s="216">
        <v>0</v>
      </c>
      <c r="BM13" s="92">
        <f t="shared" si="29"/>
        <v>4</v>
      </c>
      <c r="BN13" s="93">
        <f t="shared" si="36"/>
        <v>3</v>
      </c>
      <c r="BO13" s="95">
        <v>3</v>
      </c>
      <c r="BP13" s="95">
        <v>0</v>
      </c>
      <c r="BQ13" s="94">
        <v>0</v>
      </c>
      <c r="BR13" s="93">
        <f t="shared" si="30"/>
        <v>1</v>
      </c>
      <c r="BS13" s="94">
        <v>1</v>
      </c>
      <c r="BT13" s="94">
        <v>0</v>
      </c>
      <c r="BU13" s="113">
        <v>0</v>
      </c>
      <c r="BV13" s="213">
        <f t="shared" si="9"/>
        <v>133.33333333333331</v>
      </c>
      <c r="BW13" s="214">
        <f t="shared" si="39"/>
        <v>100</v>
      </c>
      <c r="BX13" s="215">
        <f t="shared" si="40"/>
        <v>100</v>
      </c>
      <c r="BY13" s="215">
        <v>0</v>
      </c>
      <c r="BZ13" s="215">
        <v>0</v>
      </c>
      <c r="CA13" s="214">
        <v>0</v>
      </c>
      <c r="CB13" s="215">
        <v>0</v>
      </c>
      <c r="CC13" s="215">
        <v>0</v>
      </c>
      <c r="CD13" s="216">
        <v>0</v>
      </c>
    </row>
    <row r="14" spans="1:82" ht="61.5" customHeight="1">
      <c r="A14" s="56" t="s">
        <v>38</v>
      </c>
      <c r="B14" s="101">
        <f t="shared" si="20"/>
        <v>10</v>
      </c>
      <c r="C14" s="123">
        <f t="shared" si="21"/>
        <v>10</v>
      </c>
      <c r="D14" s="125">
        <v>3</v>
      </c>
      <c r="E14" s="16">
        <v>7</v>
      </c>
      <c r="F14" s="16">
        <v>0</v>
      </c>
      <c r="G14" s="102">
        <f t="shared" si="22"/>
        <v>0</v>
      </c>
      <c r="H14" s="300">
        <v>0</v>
      </c>
      <c r="I14" s="300">
        <v>0</v>
      </c>
      <c r="J14" s="301"/>
      <c r="K14" s="92">
        <f t="shared" si="23"/>
        <v>7</v>
      </c>
      <c r="L14" s="93">
        <f t="shared" si="31"/>
        <v>6</v>
      </c>
      <c r="M14" s="129">
        <v>1</v>
      </c>
      <c r="N14" s="129">
        <v>5</v>
      </c>
      <c r="O14" s="126">
        <v>0</v>
      </c>
      <c r="P14" s="93">
        <f t="shared" si="24"/>
        <v>1</v>
      </c>
      <c r="Q14" s="94">
        <v>1</v>
      </c>
      <c r="R14" s="94">
        <v>0</v>
      </c>
      <c r="S14" s="103">
        <v>0</v>
      </c>
      <c r="T14" s="100">
        <f t="shared" si="11"/>
        <v>70</v>
      </c>
      <c r="U14" s="104">
        <f t="shared" si="12"/>
        <v>60</v>
      </c>
      <c r="V14" s="104">
        <f t="shared" si="37"/>
        <v>33.33333333333333</v>
      </c>
      <c r="W14" s="104">
        <f t="shared" si="32"/>
        <v>71.42857142857143</v>
      </c>
      <c r="X14" s="104">
        <v>0</v>
      </c>
      <c r="Y14" s="104">
        <v>0</v>
      </c>
      <c r="Z14" s="105"/>
      <c r="AA14" s="105"/>
      <c r="AB14" s="106"/>
      <c r="AC14" s="92">
        <f t="shared" si="25"/>
        <v>8</v>
      </c>
      <c r="AD14" s="93">
        <f t="shared" si="33"/>
        <v>6</v>
      </c>
      <c r="AE14" s="129">
        <v>3</v>
      </c>
      <c r="AF14" s="129">
        <v>3</v>
      </c>
      <c r="AG14" s="126">
        <v>0</v>
      </c>
      <c r="AH14" s="93">
        <f t="shared" si="26"/>
        <v>2</v>
      </c>
      <c r="AI14" s="94">
        <v>2</v>
      </c>
      <c r="AJ14" s="94">
        <v>0</v>
      </c>
      <c r="AK14" s="96">
        <v>0</v>
      </c>
      <c r="AL14" s="107">
        <f t="shared" si="14"/>
        <v>114.28571428571428</v>
      </c>
      <c r="AM14" s="104">
        <f t="shared" si="3"/>
        <v>100</v>
      </c>
      <c r="AN14" s="104">
        <f t="shared" si="4"/>
        <v>300</v>
      </c>
      <c r="AO14" s="104">
        <f t="shared" si="5"/>
        <v>60</v>
      </c>
      <c r="AP14" s="104"/>
      <c r="AQ14" s="104">
        <f t="shared" si="6"/>
        <v>200</v>
      </c>
      <c r="AR14" s="104">
        <f t="shared" si="7"/>
        <v>200</v>
      </c>
      <c r="AS14" s="104" t="e">
        <f t="shared" si="7"/>
        <v>#DIV/0!</v>
      </c>
      <c r="AT14" s="108" t="e">
        <f t="shared" si="7"/>
        <v>#DIV/0!</v>
      </c>
      <c r="AU14" s="92">
        <f t="shared" si="27"/>
        <v>10</v>
      </c>
      <c r="AV14" s="93">
        <f t="shared" si="34"/>
        <v>8</v>
      </c>
      <c r="AW14" s="95">
        <v>4</v>
      </c>
      <c r="AX14" s="95">
        <v>4</v>
      </c>
      <c r="AY14" s="94">
        <v>0</v>
      </c>
      <c r="AZ14" s="93">
        <f t="shared" si="28"/>
        <v>2</v>
      </c>
      <c r="BA14" s="94">
        <v>2</v>
      </c>
      <c r="BB14" s="94">
        <v>0</v>
      </c>
      <c r="BC14" s="96">
        <v>0</v>
      </c>
      <c r="BD14" s="213">
        <f t="shared" si="15"/>
        <v>125</v>
      </c>
      <c r="BE14" s="214">
        <f t="shared" si="16"/>
        <v>133.33333333333331</v>
      </c>
      <c r="BF14" s="215">
        <f t="shared" si="17"/>
        <v>133.33333333333331</v>
      </c>
      <c r="BG14" s="215">
        <f t="shared" si="35"/>
        <v>133.33333333333331</v>
      </c>
      <c r="BH14" s="215">
        <v>0</v>
      </c>
      <c r="BI14" s="214">
        <f t="shared" si="18"/>
        <v>100</v>
      </c>
      <c r="BJ14" s="215">
        <f t="shared" si="19"/>
        <v>100</v>
      </c>
      <c r="BK14" s="215">
        <v>0</v>
      </c>
      <c r="BL14" s="216">
        <v>0</v>
      </c>
      <c r="BM14" s="92">
        <f t="shared" si="29"/>
        <v>8</v>
      </c>
      <c r="BN14" s="93">
        <f t="shared" si="36"/>
        <v>6</v>
      </c>
      <c r="BO14" s="95">
        <v>3</v>
      </c>
      <c r="BP14" s="95">
        <v>3</v>
      </c>
      <c r="BQ14" s="94">
        <v>0</v>
      </c>
      <c r="BR14" s="93">
        <f t="shared" si="30"/>
        <v>2</v>
      </c>
      <c r="BS14" s="94">
        <v>2</v>
      </c>
      <c r="BT14" s="94">
        <v>0</v>
      </c>
      <c r="BU14" s="113">
        <v>0</v>
      </c>
      <c r="BV14" s="213">
        <f t="shared" si="9"/>
        <v>80</v>
      </c>
      <c r="BW14" s="214">
        <f t="shared" si="39"/>
        <v>75</v>
      </c>
      <c r="BX14" s="215">
        <f t="shared" si="40"/>
        <v>75</v>
      </c>
      <c r="BY14" s="215">
        <f>BP14/AX14*100</f>
        <v>75</v>
      </c>
      <c r="BZ14" s="215">
        <v>0</v>
      </c>
      <c r="CA14" s="214">
        <f aca="true" t="shared" si="41" ref="CA14:CA24">BR14/AZ14*100</f>
        <v>100</v>
      </c>
      <c r="CB14" s="215">
        <f aca="true" t="shared" si="42" ref="CB14:CB24">BS14/BA14*100</f>
        <v>100</v>
      </c>
      <c r="CC14" s="215">
        <v>0</v>
      </c>
      <c r="CD14" s="216">
        <v>0</v>
      </c>
    </row>
    <row r="15" spans="1:82" ht="12" customHeight="1">
      <c r="A15" s="56" t="s">
        <v>14</v>
      </c>
      <c r="B15" s="101">
        <f t="shared" si="20"/>
        <v>88</v>
      </c>
      <c r="C15" s="123">
        <f t="shared" si="21"/>
        <v>35</v>
      </c>
      <c r="D15" s="125">
        <v>32</v>
      </c>
      <c r="E15" s="16">
        <v>3</v>
      </c>
      <c r="F15" s="16">
        <v>0</v>
      </c>
      <c r="G15" s="102">
        <f t="shared" si="22"/>
        <v>53</v>
      </c>
      <c r="H15" s="300">
        <v>52</v>
      </c>
      <c r="I15" s="300">
        <v>1</v>
      </c>
      <c r="J15" s="301"/>
      <c r="K15" s="92">
        <f t="shared" si="23"/>
        <v>70</v>
      </c>
      <c r="L15" s="93">
        <f t="shared" si="31"/>
        <v>28</v>
      </c>
      <c r="M15" s="129">
        <v>23</v>
      </c>
      <c r="N15" s="129">
        <v>5</v>
      </c>
      <c r="O15" s="126">
        <v>0</v>
      </c>
      <c r="P15" s="93">
        <f t="shared" si="24"/>
        <v>42</v>
      </c>
      <c r="Q15" s="94">
        <v>42</v>
      </c>
      <c r="R15" s="94">
        <v>0</v>
      </c>
      <c r="S15" s="103">
        <v>0</v>
      </c>
      <c r="T15" s="100">
        <f t="shared" si="11"/>
        <v>79.54545454545455</v>
      </c>
      <c r="U15" s="104">
        <f t="shared" si="12"/>
        <v>80</v>
      </c>
      <c r="V15" s="104">
        <f t="shared" si="37"/>
        <v>71.875</v>
      </c>
      <c r="W15" s="104">
        <f t="shared" si="32"/>
        <v>166.66666666666669</v>
      </c>
      <c r="X15" s="104">
        <v>0</v>
      </c>
      <c r="Y15" s="104">
        <f t="shared" si="13"/>
        <v>79.24528301886792</v>
      </c>
      <c r="Z15" s="105"/>
      <c r="AA15" s="105"/>
      <c r="AB15" s="106"/>
      <c r="AC15" s="92">
        <f t="shared" si="25"/>
        <v>65</v>
      </c>
      <c r="AD15" s="93">
        <f t="shared" si="33"/>
        <v>26</v>
      </c>
      <c r="AE15" s="129">
        <v>22</v>
      </c>
      <c r="AF15" s="129">
        <v>4</v>
      </c>
      <c r="AG15" s="126">
        <v>0</v>
      </c>
      <c r="AH15" s="93">
        <f t="shared" si="26"/>
        <v>39</v>
      </c>
      <c r="AI15" s="94">
        <v>39</v>
      </c>
      <c r="AJ15" s="94">
        <v>0</v>
      </c>
      <c r="AK15" s="96">
        <v>0</v>
      </c>
      <c r="AL15" s="107">
        <f t="shared" si="14"/>
        <v>92.85714285714286</v>
      </c>
      <c r="AM15" s="104">
        <f t="shared" si="3"/>
        <v>92.85714285714286</v>
      </c>
      <c r="AN15" s="104">
        <f t="shared" si="4"/>
        <v>95.65217391304348</v>
      </c>
      <c r="AO15" s="104">
        <f t="shared" si="5"/>
        <v>80</v>
      </c>
      <c r="AP15" s="104"/>
      <c r="AQ15" s="104">
        <f t="shared" si="6"/>
        <v>92.85714285714286</v>
      </c>
      <c r="AR15" s="104">
        <f t="shared" si="7"/>
        <v>92.85714285714286</v>
      </c>
      <c r="AS15" s="104" t="e">
        <f t="shared" si="7"/>
        <v>#DIV/0!</v>
      </c>
      <c r="AT15" s="108" t="e">
        <f t="shared" si="7"/>
        <v>#DIV/0!</v>
      </c>
      <c r="AU15" s="92">
        <f t="shared" si="27"/>
        <v>63</v>
      </c>
      <c r="AV15" s="93">
        <f t="shared" si="34"/>
        <v>24</v>
      </c>
      <c r="AW15" s="95">
        <v>21</v>
      </c>
      <c r="AX15" s="95">
        <v>3</v>
      </c>
      <c r="AY15" s="94">
        <v>0</v>
      </c>
      <c r="AZ15" s="93">
        <f t="shared" si="28"/>
        <v>39</v>
      </c>
      <c r="BA15" s="94">
        <v>39</v>
      </c>
      <c r="BB15" s="94">
        <v>0</v>
      </c>
      <c r="BC15" s="96">
        <v>0</v>
      </c>
      <c r="BD15" s="213">
        <f t="shared" si="15"/>
        <v>96.92307692307692</v>
      </c>
      <c r="BE15" s="214">
        <f t="shared" si="16"/>
        <v>92.3076923076923</v>
      </c>
      <c r="BF15" s="215">
        <f t="shared" si="17"/>
        <v>95.45454545454545</v>
      </c>
      <c r="BG15" s="215">
        <f t="shared" si="35"/>
        <v>75</v>
      </c>
      <c r="BH15" s="215">
        <v>0</v>
      </c>
      <c r="BI15" s="214">
        <f t="shared" si="18"/>
        <v>100</v>
      </c>
      <c r="BJ15" s="215">
        <f t="shared" si="19"/>
        <v>100</v>
      </c>
      <c r="BK15" s="215">
        <v>0</v>
      </c>
      <c r="BL15" s="216">
        <v>0</v>
      </c>
      <c r="BM15" s="92">
        <f t="shared" si="29"/>
        <v>69</v>
      </c>
      <c r="BN15" s="93">
        <f t="shared" si="36"/>
        <v>27</v>
      </c>
      <c r="BO15" s="95">
        <v>24</v>
      </c>
      <c r="BP15" s="95">
        <v>3</v>
      </c>
      <c r="BQ15" s="94">
        <v>0</v>
      </c>
      <c r="BR15" s="93">
        <f t="shared" si="30"/>
        <v>42</v>
      </c>
      <c r="BS15" s="94">
        <v>42</v>
      </c>
      <c r="BT15" s="94">
        <v>0</v>
      </c>
      <c r="BU15" s="113">
        <v>0</v>
      </c>
      <c r="BV15" s="213">
        <f t="shared" si="9"/>
        <v>109.52380952380953</v>
      </c>
      <c r="BW15" s="214">
        <f t="shared" si="39"/>
        <v>112.5</v>
      </c>
      <c r="BX15" s="215">
        <f t="shared" si="40"/>
        <v>114.28571428571428</v>
      </c>
      <c r="BY15" s="215">
        <f>BP15/AX15*100</f>
        <v>100</v>
      </c>
      <c r="BZ15" s="215">
        <v>0</v>
      </c>
      <c r="CA15" s="214">
        <f t="shared" si="41"/>
        <v>107.6923076923077</v>
      </c>
      <c r="CB15" s="215">
        <f t="shared" si="42"/>
        <v>107.6923076923077</v>
      </c>
      <c r="CC15" s="215">
        <v>0</v>
      </c>
      <c r="CD15" s="216">
        <v>0</v>
      </c>
    </row>
    <row r="16" spans="1:82" ht="43.5" customHeight="1">
      <c r="A16" s="56" t="s">
        <v>22</v>
      </c>
      <c r="B16" s="101">
        <f t="shared" si="20"/>
        <v>507</v>
      </c>
      <c r="C16" s="123">
        <f t="shared" si="21"/>
        <v>92</v>
      </c>
      <c r="D16" s="125">
        <v>87</v>
      </c>
      <c r="E16" s="16">
        <v>5</v>
      </c>
      <c r="F16" s="16">
        <v>0</v>
      </c>
      <c r="G16" s="102">
        <f t="shared" si="22"/>
        <v>415</v>
      </c>
      <c r="H16" s="300">
        <v>408</v>
      </c>
      <c r="I16" s="300">
        <v>7</v>
      </c>
      <c r="J16" s="301"/>
      <c r="K16" s="92">
        <f t="shared" si="23"/>
        <v>472</v>
      </c>
      <c r="L16" s="93">
        <f t="shared" si="31"/>
        <v>86</v>
      </c>
      <c r="M16" s="129">
        <v>81</v>
      </c>
      <c r="N16" s="129">
        <v>5</v>
      </c>
      <c r="O16" s="126">
        <v>0</v>
      </c>
      <c r="P16" s="93">
        <f t="shared" si="24"/>
        <v>386</v>
      </c>
      <c r="Q16" s="94">
        <v>379</v>
      </c>
      <c r="R16" s="95">
        <v>7</v>
      </c>
      <c r="S16" s="103">
        <v>0</v>
      </c>
      <c r="T16" s="100">
        <f t="shared" si="11"/>
        <v>93.09664694280079</v>
      </c>
      <c r="U16" s="104">
        <f t="shared" si="12"/>
        <v>93.47826086956522</v>
      </c>
      <c r="V16" s="104">
        <f t="shared" si="37"/>
        <v>93.10344827586206</v>
      </c>
      <c r="W16" s="104">
        <f t="shared" si="32"/>
        <v>100</v>
      </c>
      <c r="X16" s="104">
        <v>0</v>
      </c>
      <c r="Y16" s="104">
        <f t="shared" si="13"/>
        <v>93.01204819277108</v>
      </c>
      <c r="Z16" s="105"/>
      <c r="AA16" s="105"/>
      <c r="AB16" s="106"/>
      <c r="AC16" s="92">
        <f t="shared" si="25"/>
        <v>455</v>
      </c>
      <c r="AD16" s="93">
        <f t="shared" si="33"/>
        <v>83</v>
      </c>
      <c r="AE16" s="129">
        <v>77</v>
      </c>
      <c r="AF16" s="129">
        <v>6</v>
      </c>
      <c r="AG16" s="126">
        <v>0</v>
      </c>
      <c r="AH16" s="93">
        <f t="shared" si="26"/>
        <v>372</v>
      </c>
      <c r="AI16" s="94">
        <v>367</v>
      </c>
      <c r="AJ16" s="94">
        <v>5</v>
      </c>
      <c r="AK16" s="96">
        <v>0</v>
      </c>
      <c r="AL16" s="107">
        <f t="shared" si="14"/>
        <v>96.39830508474576</v>
      </c>
      <c r="AM16" s="104">
        <f t="shared" si="3"/>
        <v>96.51162790697676</v>
      </c>
      <c r="AN16" s="104">
        <f t="shared" si="4"/>
        <v>95.06172839506173</v>
      </c>
      <c r="AO16" s="104">
        <f t="shared" si="5"/>
        <v>120</v>
      </c>
      <c r="AP16" s="104"/>
      <c r="AQ16" s="104">
        <f t="shared" si="6"/>
        <v>96.37305699481865</v>
      </c>
      <c r="AR16" s="104">
        <f t="shared" si="7"/>
        <v>96.83377308707124</v>
      </c>
      <c r="AS16" s="104">
        <f t="shared" si="7"/>
        <v>71.42857142857143</v>
      </c>
      <c r="AT16" s="108" t="e">
        <f t="shared" si="7"/>
        <v>#DIV/0!</v>
      </c>
      <c r="AU16" s="92">
        <f t="shared" si="27"/>
        <v>457</v>
      </c>
      <c r="AV16" s="93">
        <f t="shared" si="34"/>
        <v>85</v>
      </c>
      <c r="AW16" s="95">
        <v>80</v>
      </c>
      <c r="AX16" s="95">
        <v>5</v>
      </c>
      <c r="AY16" s="94">
        <v>0</v>
      </c>
      <c r="AZ16" s="93">
        <f t="shared" si="28"/>
        <v>372</v>
      </c>
      <c r="BA16" s="94">
        <v>368</v>
      </c>
      <c r="BB16" s="94">
        <v>4</v>
      </c>
      <c r="BC16" s="96">
        <v>0</v>
      </c>
      <c r="BD16" s="213">
        <f t="shared" si="15"/>
        <v>100.43956043956044</v>
      </c>
      <c r="BE16" s="214">
        <f t="shared" si="16"/>
        <v>102.40963855421687</v>
      </c>
      <c r="BF16" s="215">
        <f t="shared" si="17"/>
        <v>103.89610389610388</v>
      </c>
      <c r="BG16" s="215">
        <f t="shared" si="35"/>
        <v>83.33333333333334</v>
      </c>
      <c r="BH16" s="215">
        <v>0</v>
      </c>
      <c r="BI16" s="214">
        <f t="shared" si="18"/>
        <v>100</v>
      </c>
      <c r="BJ16" s="215">
        <f t="shared" si="19"/>
        <v>100.2724795640327</v>
      </c>
      <c r="BK16" s="215">
        <f t="shared" si="38"/>
        <v>80</v>
      </c>
      <c r="BL16" s="216">
        <v>0</v>
      </c>
      <c r="BM16" s="92">
        <f t="shared" si="29"/>
        <v>466</v>
      </c>
      <c r="BN16" s="93">
        <f t="shared" si="36"/>
        <v>84</v>
      </c>
      <c r="BO16" s="95">
        <v>80</v>
      </c>
      <c r="BP16" s="95">
        <v>4</v>
      </c>
      <c r="BQ16" s="94">
        <v>0</v>
      </c>
      <c r="BR16" s="93">
        <f t="shared" si="30"/>
        <v>382</v>
      </c>
      <c r="BS16" s="94">
        <v>379</v>
      </c>
      <c r="BT16" s="94">
        <v>3</v>
      </c>
      <c r="BU16" s="113">
        <v>0</v>
      </c>
      <c r="BV16" s="213">
        <f t="shared" si="9"/>
        <v>101.96936542669583</v>
      </c>
      <c r="BW16" s="214">
        <f t="shared" si="39"/>
        <v>98.82352941176471</v>
      </c>
      <c r="BX16" s="215">
        <f t="shared" si="40"/>
        <v>100</v>
      </c>
      <c r="BY16" s="215">
        <f>BP16/AX16*100</f>
        <v>80</v>
      </c>
      <c r="BZ16" s="215">
        <v>0</v>
      </c>
      <c r="CA16" s="214">
        <f t="shared" si="41"/>
        <v>102.68817204301075</v>
      </c>
      <c r="CB16" s="215">
        <f t="shared" si="42"/>
        <v>102.98913043478262</v>
      </c>
      <c r="CC16" s="215">
        <f>BT16/BB16*100</f>
        <v>75</v>
      </c>
      <c r="CD16" s="216">
        <v>0</v>
      </c>
    </row>
    <row r="17" spans="1:82" ht="24" customHeight="1">
      <c r="A17" s="56" t="s">
        <v>27</v>
      </c>
      <c r="B17" s="101">
        <f t="shared" si="20"/>
        <v>115</v>
      </c>
      <c r="C17" s="123">
        <f t="shared" si="21"/>
        <v>27</v>
      </c>
      <c r="D17" s="125">
        <v>27</v>
      </c>
      <c r="E17" s="16">
        <v>0</v>
      </c>
      <c r="F17" s="16">
        <v>0</v>
      </c>
      <c r="G17" s="102">
        <f t="shared" si="22"/>
        <v>88</v>
      </c>
      <c r="H17" s="300">
        <v>88</v>
      </c>
      <c r="I17" s="300">
        <v>0</v>
      </c>
      <c r="J17" s="301"/>
      <c r="K17" s="92">
        <f t="shared" si="23"/>
        <v>113</v>
      </c>
      <c r="L17" s="93">
        <f t="shared" si="31"/>
        <v>27</v>
      </c>
      <c r="M17" s="129">
        <v>27</v>
      </c>
      <c r="N17" s="129">
        <v>0</v>
      </c>
      <c r="O17" s="126">
        <v>0</v>
      </c>
      <c r="P17" s="93">
        <f t="shared" si="24"/>
        <v>86</v>
      </c>
      <c r="Q17" s="94">
        <v>86</v>
      </c>
      <c r="R17" s="94">
        <v>0</v>
      </c>
      <c r="S17" s="103">
        <v>0</v>
      </c>
      <c r="T17" s="100">
        <f t="shared" si="11"/>
        <v>98.26086956521739</v>
      </c>
      <c r="U17" s="104">
        <f t="shared" si="12"/>
        <v>100</v>
      </c>
      <c r="V17" s="104">
        <f t="shared" si="37"/>
        <v>100</v>
      </c>
      <c r="W17" s="104">
        <v>0</v>
      </c>
      <c r="X17" s="104">
        <v>0</v>
      </c>
      <c r="Y17" s="104">
        <f t="shared" si="13"/>
        <v>97.72727272727273</v>
      </c>
      <c r="Z17" s="105"/>
      <c r="AA17" s="105"/>
      <c r="AB17" s="106"/>
      <c r="AC17" s="92">
        <f t="shared" si="25"/>
        <v>111</v>
      </c>
      <c r="AD17" s="93">
        <f t="shared" si="33"/>
        <v>27</v>
      </c>
      <c r="AE17" s="129">
        <v>27</v>
      </c>
      <c r="AF17" s="129">
        <v>0</v>
      </c>
      <c r="AG17" s="126">
        <v>0</v>
      </c>
      <c r="AH17" s="93">
        <f t="shared" si="26"/>
        <v>84</v>
      </c>
      <c r="AI17" s="94">
        <v>83</v>
      </c>
      <c r="AJ17" s="94">
        <v>1</v>
      </c>
      <c r="AK17" s="96">
        <v>0</v>
      </c>
      <c r="AL17" s="107">
        <f t="shared" si="14"/>
        <v>98.23008849557522</v>
      </c>
      <c r="AM17" s="104">
        <f t="shared" si="3"/>
        <v>100</v>
      </c>
      <c r="AN17" s="104">
        <f t="shared" si="4"/>
        <v>100</v>
      </c>
      <c r="AO17" s="104"/>
      <c r="AP17" s="104"/>
      <c r="AQ17" s="104">
        <f t="shared" si="6"/>
        <v>97.67441860465115</v>
      </c>
      <c r="AR17" s="104">
        <f t="shared" si="7"/>
        <v>96.51162790697676</v>
      </c>
      <c r="AS17" s="104" t="e">
        <f t="shared" si="7"/>
        <v>#DIV/0!</v>
      </c>
      <c r="AT17" s="108" t="e">
        <f t="shared" si="7"/>
        <v>#DIV/0!</v>
      </c>
      <c r="AU17" s="92">
        <f t="shared" si="27"/>
        <v>109</v>
      </c>
      <c r="AV17" s="93">
        <f t="shared" si="34"/>
        <v>25</v>
      </c>
      <c r="AW17" s="95">
        <v>25</v>
      </c>
      <c r="AX17" s="95">
        <v>0</v>
      </c>
      <c r="AY17" s="94">
        <v>0</v>
      </c>
      <c r="AZ17" s="93">
        <f t="shared" si="28"/>
        <v>84</v>
      </c>
      <c r="BA17" s="94">
        <v>83</v>
      </c>
      <c r="BB17" s="94">
        <v>1</v>
      </c>
      <c r="BC17" s="96">
        <v>0</v>
      </c>
      <c r="BD17" s="213">
        <f t="shared" si="15"/>
        <v>98.1981981981982</v>
      </c>
      <c r="BE17" s="214">
        <f t="shared" si="16"/>
        <v>92.5925925925926</v>
      </c>
      <c r="BF17" s="215">
        <f t="shared" si="17"/>
        <v>92.5925925925926</v>
      </c>
      <c r="BG17" s="215">
        <v>0</v>
      </c>
      <c r="BH17" s="215">
        <v>0</v>
      </c>
      <c r="BI17" s="214">
        <f t="shared" si="18"/>
        <v>100</v>
      </c>
      <c r="BJ17" s="215">
        <f t="shared" si="19"/>
        <v>100</v>
      </c>
      <c r="BK17" s="215">
        <f t="shared" si="38"/>
        <v>100</v>
      </c>
      <c r="BL17" s="216">
        <v>0</v>
      </c>
      <c r="BM17" s="92">
        <f t="shared" si="29"/>
        <v>102</v>
      </c>
      <c r="BN17" s="93">
        <f t="shared" si="36"/>
        <v>22</v>
      </c>
      <c r="BO17" s="95">
        <v>22</v>
      </c>
      <c r="BP17" s="95">
        <v>0</v>
      </c>
      <c r="BQ17" s="94">
        <v>0</v>
      </c>
      <c r="BR17" s="93">
        <f t="shared" si="30"/>
        <v>80</v>
      </c>
      <c r="BS17" s="94">
        <v>79</v>
      </c>
      <c r="BT17" s="94">
        <v>1</v>
      </c>
      <c r="BU17" s="113">
        <v>0</v>
      </c>
      <c r="BV17" s="213">
        <f t="shared" si="9"/>
        <v>93.57798165137615</v>
      </c>
      <c r="BW17" s="214">
        <f t="shared" si="39"/>
        <v>88</v>
      </c>
      <c r="BX17" s="215">
        <f t="shared" si="40"/>
        <v>88</v>
      </c>
      <c r="BY17" s="215">
        <v>0</v>
      </c>
      <c r="BZ17" s="215">
        <v>0</v>
      </c>
      <c r="CA17" s="214">
        <f t="shared" si="41"/>
        <v>95.23809523809523</v>
      </c>
      <c r="CB17" s="215">
        <f t="shared" si="42"/>
        <v>95.18072289156626</v>
      </c>
      <c r="CC17" s="215">
        <f>BT17/BB17*100</f>
        <v>100</v>
      </c>
      <c r="CD17" s="216">
        <v>0</v>
      </c>
    </row>
    <row r="18" spans="1:82" ht="15" customHeight="1">
      <c r="A18" s="57" t="s">
        <v>23</v>
      </c>
      <c r="B18" s="101">
        <f t="shared" si="20"/>
        <v>15</v>
      </c>
      <c r="C18" s="123">
        <f t="shared" si="21"/>
        <v>10</v>
      </c>
      <c r="D18" s="125">
        <v>7</v>
      </c>
      <c r="E18" s="16">
        <v>3</v>
      </c>
      <c r="F18" s="16">
        <v>0</v>
      </c>
      <c r="G18" s="102">
        <f t="shared" si="22"/>
        <v>5</v>
      </c>
      <c r="H18" s="300">
        <v>4</v>
      </c>
      <c r="I18" s="300">
        <v>1</v>
      </c>
      <c r="J18" s="301"/>
      <c r="K18" s="92">
        <f t="shared" si="23"/>
        <v>12</v>
      </c>
      <c r="L18" s="93">
        <f t="shared" si="31"/>
        <v>7</v>
      </c>
      <c r="M18" s="129">
        <v>5</v>
      </c>
      <c r="N18" s="129">
        <v>2</v>
      </c>
      <c r="O18" s="126">
        <v>0</v>
      </c>
      <c r="P18" s="93">
        <f t="shared" si="24"/>
        <v>5</v>
      </c>
      <c r="Q18" s="94">
        <v>4</v>
      </c>
      <c r="R18" s="94">
        <v>1</v>
      </c>
      <c r="S18" s="103">
        <v>0</v>
      </c>
      <c r="T18" s="100">
        <f t="shared" si="11"/>
        <v>80</v>
      </c>
      <c r="U18" s="104">
        <f t="shared" si="12"/>
        <v>70</v>
      </c>
      <c r="V18" s="104">
        <f t="shared" si="37"/>
        <v>71.42857142857143</v>
      </c>
      <c r="W18" s="104">
        <f t="shared" si="32"/>
        <v>66.66666666666666</v>
      </c>
      <c r="X18" s="104">
        <v>0</v>
      </c>
      <c r="Y18" s="104">
        <f t="shared" si="13"/>
        <v>100</v>
      </c>
      <c r="Z18" s="105"/>
      <c r="AA18" s="105"/>
      <c r="AB18" s="106"/>
      <c r="AC18" s="92">
        <f t="shared" si="25"/>
        <v>13</v>
      </c>
      <c r="AD18" s="93">
        <f t="shared" si="33"/>
        <v>8</v>
      </c>
      <c r="AE18" s="129">
        <v>6</v>
      </c>
      <c r="AF18" s="129">
        <v>2</v>
      </c>
      <c r="AG18" s="126">
        <v>0</v>
      </c>
      <c r="AH18" s="93">
        <f t="shared" si="26"/>
        <v>5</v>
      </c>
      <c r="AI18" s="94">
        <v>5</v>
      </c>
      <c r="AJ18" s="94">
        <v>0</v>
      </c>
      <c r="AK18" s="96">
        <v>0</v>
      </c>
      <c r="AL18" s="107">
        <f t="shared" si="14"/>
        <v>108.33333333333333</v>
      </c>
      <c r="AM18" s="104">
        <f t="shared" si="3"/>
        <v>114.28571428571428</v>
      </c>
      <c r="AN18" s="104">
        <f t="shared" si="4"/>
        <v>120</v>
      </c>
      <c r="AO18" s="104">
        <f t="shared" si="5"/>
        <v>100</v>
      </c>
      <c r="AP18" s="104"/>
      <c r="AQ18" s="104">
        <f t="shared" si="6"/>
        <v>100</v>
      </c>
      <c r="AR18" s="104">
        <f t="shared" si="7"/>
        <v>125</v>
      </c>
      <c r="AS18" s="104">
        <f t="shared" si="7"/>
        <v>0</v>
      </c>
      <c r="AT18" s="108" t="e">
        <f t="shared" si="7"/>
        <v>#DIV/0!</v>
      </c>
      <c r="AU18" s="92">
        <f t="shared" si="27"/>
        <v>14</v>
      </c>
      <c r="AV18" s="93">
        <f t="shared" si="34"/>
        <v>9</v>
      </c>
      <c r="AW18" s="95">
        <v>7</v>
      </c>
      <c r="AX18" s="95">
        <v>2</v>
      </c>
      <c r="AY18" s="94">
        <v>0</v>
      </c>
      <c r="AZ18" s="93">
        <f t="shared" si="28"/>
        <v>5</v>
      </c>
      <c r="BA18" s="94">
        <v>5</v>
      </c>
      <c r="BB18" s="94">
        <v>0</v>
      </c>
      <c r="BC18" s="96">
        <v>0</v>
      </c>
      <c r="BD18" s="213">
        <f t="shared" si="15"/>
        <v>107.6923076923077</v>
      </c>
      <c r="BE18" s="214">
        <f t="shared" si="16"/>
        <v>112.5</v>
      </c>
      <c r="BF18" s="215">
        <f t="shared" si="17"/>
        <v>116.66666666666667</v>
      </c>
      <c r="BG18" s="215">
        <f t="shared" si="35"/>
        <v>100</v>
      </c>
      <c r="BH18" s="215">
        <v>0</v>
      </c>
      <c r="BI18" s="214">
        <f t="shared" si="18"/>
        <v>100</v>
      </c>
      <c r="BJ18" s="215">
        <f t="shared" si="19"/>
        <v>100</v>
      </c>
      <c r="BK18" s="215">
        <v>0</v>
      </c>
      <c r="BL18" s="216">
        <v>0</v>
      </c>
      <c r="BM18" s="92">
        <f t="shared" si="29"/>
        <v>12</v>
      </c>
      <c r="BN18" s="93">
        <f t="shared" si="36"/>
        <v>8</v>
      </c>
      <c r="BO18" s="95">
        <v>6</v>
      </c>
      <c r="BP18" s="95">
        <v>2</v>
      </c>
      <c r="BQ18" s="94">
        <v>0</v>
      </c>
      <c r="BR18" s="93">
        <f t="shared" si="30"/>
        <v>4</v>
      </c>
      <c r="BS18" s="94">
        <v>4</v>
      </c>
      <c r="BT18" s="94">
        <v>0</v>
      </c>
      <c r="BU18" s="113">
        <v>0</v>
      </c>
      <c r="BV18" s="213">
        <f t="shared" si="9"/>
        <v>85.71428571428571</v>
      </c>
      <c r="BW18" s="214">
        <f t="shared" si="39"/>
        <v>88.88888888888889</v>
      </c>
      <c r="BX18" s="215">
        <f t="shared" si="40"/>
        <v>85.71428571428571</v>
      </c>
      <c r="BY18" s="215">
        <f>BP18/AX18*100</f>
        <v>100</v>
      </c>
      <c r="BZ18" s="215">
        <v>0</v>
      </c>
      <c r="CA18" s="214">
        <f t="shared" si="41"/>
        <v>80</v>
      </c>
      <c r="CB18" s="215">
        <f t="shared" si="42"/>
        <v>80</v>
      </c>
      <c r="CC18" s="215">
        <v>0</v>
      </c>
      <c r="CD18" s="216">
        <v>0</v>
      </c>
    </row>
    <row r="19" spans="1:82" ht="16.5" customHeight="1">
      <c r="A19" s="57" t="s">
        <v>24</v>
      </c>
      <c r="B19" s="101">
        <f t="shared" si="20"/>
        <v>24</v>
      </c>
      <c r="C19" s="123">
        <f t="shared" si="21"/>
        <v>4</v>
      </c>
      <c r="D19" s="125">
        <v>4</v>
      </c>
      <c r="E19" s="16">
        <v>0</v>
      </c>
      <c r="F19" s="16">
        <v>0</v>
      </c>
      <c r="G19" s="102">
        <f t="shared" si="22"/>
        <v>20</v>
      </c>
      <c r="H19" s="300">
        <v>19</v>
      </c>
      <c r="I19" s="300">
        <v>1</v>
      </c>
      <c r="J19" s="301"/>
      <c r="K19" s="92">
        <f t="shared" si="23"/>
        <v>26</v>
      </c>
      <c r="L19" s="93">
        <f t="shared" si="31"/>
        <v>3</v>
      </c>
      <c r="M19" s="129">
        <v>3</v>
      </c>
      <c r="N19" s="129">
        <v>0</v>
      </c>
      <c r="O19" s="126">
        <v>0</v>
      </c>
      <c r="P19" s="93">
        <f t="shared" si="24"/>
        <v>23</v>
      </c>
      <c r="Q19" s="94">
        <v>22</v>
      </c>
      <c r="R19" s="94">
        <v>1</v>
      </c>
      <c r="S19" s="103">
        <v>0</v>
      </c>
      <c r="T19" s="100">
        <f t="shared" si="11"/>
        <v>108.33333333333333</v>
      </c>
      <c r="U19" s="104">
        <f t="shared" si="12"/>
        <v>75</v>
      </c>
      <c r="V19" s="104">
        <f t="shared" si="37"/>
        <v>75</v>
      </c>
      <c r="W19" s="104">
        <v>0</v>
      </c>
      <c r="X19" s="104">
        <v>0</v>
      </c>
      <c r="Y19" s="104">
        <f t="shared" si="13"/>
        <v>114.99999999999999</v>
      </c>
      <c r="Z19" s="105"/>
      <c r="AA19" s="105"/>
      <c r="AB19" s="106"/>
      <c r="AC19" s="92">
        <f t="shared" si="25"/>
        <v>26</v>
      </c>
      <c r="AD19" s="93">
        <f t="shared" si="33"/>
        <v>2</v>
      </c>
      <c r="AE19" s="129">
        <v>2</v>
      </c>
      <c r="AF19" s="129">
        <v>0</v>
      </c>
      <c r="AG19" s="126">
        <v>0</v>
      </c>
      <c r="AH19" s="93">
        <f t="shared" si="26"/>
        <v>24</v>
      </c>
      <c r="AI19" s="94">
        <v>23</v>
      </c>
      <c r="AJ19" s="94">
        <v>1</v>
      </c>
      <c r="AK19" s="96">
        <v>0</v>
      </c>
      <c r="AL19" s="107">
        <f t="shared" si="14"/>
        <v>100</v>
      </c>
      <c r="AM19" s="104">
        <f t="shared" si="3"/>
        <v>66.66666666666666</v>
      </c>
      <c r="AN19" s="104">
        <f t="shared" si="4"/>
        <v>66.66666666666666</v>
      </c>
      <c r="AO19" s="104"/>
      <c r="AP19" s="104"/>
      <c r="AQ19" s="104">
        <f t="shared" si="6"/>
        <v>104.34782608695652</v>
      </c>
      <c r="AR19" s="104">
        <f t="shared" si="7"/>
        <v>104.54545454545455</v>
      </c>
      <c r="AS19" s="104">
        <f t="shared" si="7"/>
        <v>100</v>
      </c>
      <c r="AT19" s="108" t="e">
        <f t="shared" si="7"/>
        <v>#DIV/0!</v>
      </c>
      <c r="AU19" s="92">
        <f t="shared" si="27"/>
        <v>28</v>
      </c>
      <c r="AV19" s="93">
        <f t="shared" si="34"/>
        <v>4</v>
      </c>
      <c r="AW19" s="95">
        <v>4</v>
      </c>
      <c r="AX19" s="95">
        <v>0</v>
      </c>
      <c r="AY19" s="94">
        <v>0</v>
      </c>
      <c r="AZ19" s="93">
        <f t="shared" si="28"/>
        <v>24</v>
      </c>
      <c r="BA19" s="94">
        <v>23</v>
      </c>
      <c r="BB19" s="94">
        <v>1</v>
      </c>
      <c r="BC19" s="96">
        <v>0</v>
      </c>
      <c r="BD19" s="213">
        <f t="shared" si="15"/>
        <v>107.6923076923077</v>
      </c>
      <c r="BE19" s="214">
        <f t="shared" si="16"/>
        <v>200</v>
      </c>
      <c r="BF19" s="215">
        <f t="shared" si="17"/>
        <v>200</v>
      </c>
      <c r="BG19" s="215">
        <v>0</v>
      </c>
      <c r="BH19" s="215">
        <v>0</v>
      </c>
      <c r="BI19" s="214">
        <f t="shared" si="18"/>
        <v>100</v>
      </c>
      <c r="BJ19" s="215">
        <f t="shared" si="19"/>
        <v>100</v>
      </c>
      <c r="BK19" s="215">
        <f t="shared" si="38"/>
        <v>100</v>
      </c>
      <c r="BL19" s="216">
        <v>0</v>
      </c>
      <c r="BM19" s="92">
        <f t="shared" si="29"/>
        <v>34</v>
      </c>
      <c r="BN19" s="93">
        <f t="shared" si="36"/>
        <v>4</v>
      </c>
      <c r="BO19" s="95">
        <v>4</v>
      </c>
      <c r="BP19" s="95">
        <v>0</v>
      </c>
      <c r="BQ19" s="94">
        <v>0</v>
      </c>
      <c r="BR19" s="93">
        <f t="shared" si="30"/>
        <v>30</v>
      </c>
      <c r="BS19" s="94">
        <v>30</v>
      </c>
      <c r="BT19" s="94">
        <v>0</v>
      </c>
      <c r="BU19" s="113">
        <v>0</v>
      </c>
      <c r="BV19" s="213">
        <f t="shared" si="9"/>
        <v>121.42857142857142</v>
      </c>
      <c r="BW19" s="214">
        <f t="shared" si="39"/>
        <v>100</v>
      </c>
      <c r="BX19" s="215">
        <f t="shared" si="40"/>
        <v>100</v>
      </c>
      <c r="BY19" s="215">
        <v>0</v>
      </c>
      <c r="BZ19" s="215">
        <v>0</v>
      </c>
      <c r="CA19" s="214">
        <f t="shared" si="41"/>
        <v>125</v>
      </c>
      <c r="CB19" s="215">
        <f t="shared" si="42"/>
        <v>130.43478260869566</v>
      </c>
      <c r="CC19" s="215">
        <f>BT19/BB19*100</f>
        <v>0</v>
      </c>
      <c r="CD19" s="216">
        <v>0</v>
      </c>
    </row>
    <row r="20" spans="1:82" ht="22.5" customHeight="1">
      <c r="A20" s="63" t="s">
        <v>28</v>
      </c>
      <c r="B20" s="101">
        <f t="shared" si="20"/>
        <v>9</v>
      </c>
      <c r="C20" s="123">
        <f t="shared" si="21"/>
        <v>3</v>
      </c>
      <c r="D20" s="125">
        <v>3</v>
      </c>
      <c r="E20" s="16">
        <v>0</v>
      </c>
      <c r="F20" s="16">
        <v>0</v>
      </c>
      <c r="G20" s="102">
        <f t="shared" si="22"/>
        <v>6</v>
      </c>
      <c r="H20" s="300">
        <v>6</v>
      </c>
      <c r="I20" s="300">
        <v>0</v>
      </c>
      <c r="J20" s="301"/>
      <c r="K20" s="92">
        <f t="shared" si="23"/>
        <v>15</v>
      </c>
      <c r="L20" s="93">
        <f t="shared" si="31"/>
        <v>3</v>
      </c>
      <c r="M20" s="129">
        <v>3</v>
      </c>
      <c r="N20" s="129">
        <v>0</v>
      </c>
      <c r="O20" s="126">
        <v>0</v>
      </c>
      <c r="P20" s="93">
        <f t="shared" si="24"/>
        <v>12</v>
      </c>
      <c r="Q20" s="94">
        <v>12</v>
      </c>
      <c r="R20" s="94">
        <v>0</v>
      </c>
      <c r="S20" s="103">
        <v>0</v>
      </c>
      <c r="T20" s="100">
        <f t="shared" si="11"/>
        <v>166.66666666666669</v>
      </c>
      <c r="U20" s="104">
        <f t="shared" si="12"/>
        <v>100</v>
      </c>
      <c r="V20" s="104">
        <f t="shared" si="37"/>
        <v>100</v>
      </c>
      <c r="W20" s="104">
        <v>0</v>
      </c>
      <c r="X20" s="104">
        <v>0</v>
      </c>
      <c r="Y20" s="104">
        <f t="shared" si="13"/>
        <v>200</v>
      </c>
      <c r="Z20" s="105"/>
      <c r="AA20" s="105"/>
      <c r="AB20" s="106"/>
      <c r="AC20" s="92">
        <f t="shared" si="25"/>
        <v>12</v>
      </c>
      <c r="AD20" s="93">
        <f t="shared" si="33"/>
        <v>3</v>
      </c>
      <c r="AE20" s="129">
        <v>3</v>
      </c>
      <c r="AF20" s="129">
        <v>0</v>
      </c>
      <c r="AG20" s="126">
        <v>0</v>
      </c>
      <c r="AH20" s="93">
        <f t="shared" si="26"/>
        <v>9</v>
      </c>
      <c r="AI20" s="94">
        <v>9</v>
      </c>
      <c r="AJ20" s="94">
        <v>0</v>
      </c>
      <c r="AK20" s="96">
        <v>0</v>
      </c>
      <c r="AL20" s="107">
        <f t="shared" si="14"/>
        <v>80</v>
      </c>
      <c r="AM20" s="104">
        <f t="shared" si="3"/>
        <v>100</v>
      </c>
      <c r="AN20" s="104">
        <f t="shared" si="4"/>
        <v>100</v>
      </c>
      <c r="AO20" s="104"/>
      <c r="AP20" s="104"/>
      <c r="AQ20" s="104">
        <f t="shared" si="6"/>
        <v>75</v>
      </c>
      <c r="AR20" s="104">
        <f t="shared" si="7"/>
        <v>75</v>
      </c>
      <c r="AS20" s="104" t="e">
        <f t="shared" si="7"/>
        <v>#DIV/0!</v>
      </c>
      <c r="AT20" s="108" t="e">
        <f t="shared" si="7"/>
        <v>#DIV/0!</v>
      </c>
      <c r="AU20" s="92">
        <f t="shared" si="27"/>
        <v>15</v>
      </c>
      <c r="AV20" s="93">
        <f t="shared" si="34"/>
        <v>3</v>
      </c>
      <c r="AW20" s="95">
        <v>3</v>
      </c>
      <c r="AX20" s="95">
        <v>0</v>
      </c>
      <c r="AY20" s="94">
        <v>0</v>
      </c>
      <c r="AZ20" s="93">
        <f t="shared" si="28"/>
        <v>12</v>
      </c>
      <c r="BA20" s="94">
        <v>12</v>
      </c>
      <c r="BB20" s="94">
        <v>0</v>
      </c>
      <c r="BC20" s="96">
        <v>0</v>
      </c>
      <c r="BD20" s="213">
        <f t="shared" si="15"/>
        <v>125</v>
      </c>
      <c r="BE20" s="214">
        <f t="shared" si="16"/>
        <v>100</v>
      </c>
      <c r="BF20" s="215">
        <f t="shared" si="17"/>
        <v>100</v>
      </c>
      <c r="BG20" s="215">
        <v>0</v>
      </c>
      <c r="BH20" s="215">
        <v>0</v>
      </c>
      <c r="BI20" s="214">
        <f t="shared" si="18"/>
        <v>133.33333333333331</v>
      </c>
      <c r="BJ20" s="215">
        <f t="shared" si="19"/>
        <v>133.33333333333331</v>
      </c>
      <c r="BK20" s="215">
        <v>0</v>
      </c>
      <c r="BL20" s="216">
        <v>0</v>
      </c>
      <c r="BM20" s="92">
        <f t="shared" si="29"/>
        <v>17</v>
      </c>
      <c r="BN20" s="93">
        <f t="shared" si="36"/>
        <v>5</v>
      </c>
      <c r="BO20" s="95">
        <v>5</v>
      </c>
      <c r="BP20" s="95">
        <v>0</v>
      </c>
      <c r="BQ20" s="94">
        <v>0</v>
      </c>
      <c r="BR20" s="93">
        <f t="shared" si="30"/>
        <v>12</v>
      </c>
      <c r="BS20" s="94">
        <v>12</v>
      </c>
      <c r="BT20" s="94">
        <v>0</v>
      </c>
      <c r="BU20" s="113">
        <v>0</v>
      </c>
      <c r="BV20" s="213">
        <f t="shared" si="9"/>
        <v>113.33333333333333</v>
      </c>
      <c r="BW20" s="214">
        <f t="shared" si="39"/>
        <v>166.66666666666669</v>
      </c>
      <c r="BX20" s="215">
        <f t="shared" si="40"/>
        <v>166.66666666666669</v>
      </c>
      <c r="BY20" s="215">
        <v>0</v>
      </c>
      <c r="BZ20" s="215">
        <v>0</v>
      </c>
      <c r="CA20" s="214">
        <f t="shared" si="41"/>
        <v>100</v>
      </c>
      <c r="CB20" s="215">
        <f t="shared" si="42"/>
        <v>100</v>
      </c>
      <c r="CC20" s="215">
        <v>0</v>
      </c>
      <c r="CD20" s="216">
        <v>0</v>
      </c>
    </row>
    <row r="21" spans="1:82" ht="24" customHeight="1">
      <c r="A21" s="56" t="s">
        <v>29</v>
      </c>
      <c r="B21" s="101">
        <f t="shared" si="20"/>
        <v>15</v>
      </c>
      <c r="C21" s="123">
        <f t="shared" si="21"/>
        <v>7</v>
      </c>
      <c r="D21" s="125">
        <v>7</v>
      </c>
      <c r="E21" s="16">
        <v>0</v>
      </c>
      <c r="F21" s="16">
        <v>0</v>
      </c>
      <c r="G21" s="102">
        <f t="shared" si="22"/>
        <v>8</v>
      </c>
      <c r="H21" s="300">
        <v>8</v>
      </c>
      <c r="I21" s="300">
        <v>0</v>
      </c>
      <c r="J21" s="301"/>
      <c r="K21" s="92">
        <f t="shared" si="23"/>
        <v>15</v>
      </c>
      <c r="L21" s="93">
        <f t="shared" si="31"/>
        <v>6</v>
      </c>
      <c r="M21" s="129">
        <v>6</v>
      </c>
      <c r="N21" s="129">
        <v>0</v>
      </c>
      <c r="O21" s="126">
        <v>0</v>
      </c>
      <c r="P21" s="93">
        <f t="shared" si="24"/>
        <v>9</v>
      </c>
      <c r="Q21" s="94">
        <v>9</v>
      </c>
      <c r="R21" s="94">
        <v>0</v>
      </c>
      <c r="S21" s="103">
        <v>0</v>
      </c>
      <c r="T21" s="100">
        <f t="shared" si="11"/>
        <v>100</v>
      </c>
      <c r="U21" s="104">
        <f t="shared" si="12"/>
        <v>85.71428571428571</v>
      </c>
      <c r="V21" s="104">
        <f t="shared" si="37"/>
        <v>85.71428571428571</v>
      </c>
      <c r="W21" s="104">
        <v>0</v>
      </c>
      <c r="X21" s="104">
        <v>0</v>
      </c>
      <c r="Y21" s="104">
        <f t="shared" si="13"/>
        <v>112.5</v>
      </c>
      <c r="Z21" s="105"/>
      <c r="AA21" s="105"/>
      <c r="AB21" s="106"/>
      <c r="AC21" s="92">
        <f t="shared" si="25"/>
        <v>13</v>
      </c>
      <c r="AD21" s="93">
        <f t="shared" si="33"/>
        <v>3</v>
      </c>
      <c r="AE21" s="129">
        <v>3</v>
      </c>
      <c r="AF21" s="129">
        <v>0</v>
      </c>
      <c r="AG21" s="126">
        <v>0</v>
      </c>
      <c r="AH21" s="93">
        <f t="shared" si="26"/>
        <v>10</v>
      </c>
      <c r="AI21" s="94">
        <v>10</v>
      </c>
      <c r="AJ21" s="94">
        <v>0</v>
      </c>
      <c r="AK21" s="96">
        <v>0</v>
      </c>
      <c r="AL21" s="107">
        <f t="shared" si="14"/>
        <v>86.66666666666667</v>
      </c>
      <c r="AM21" s="104">
        <f t="shared" si="3"/>
        <v>50</v>
      </c>
      <c r="AN21" s="104">
        <f t="shared" si="4"/>
        <v>50</v>
      </c>
      <c r="AO21" s="104"/>
      <c r="AP21" s="104"/>
      <c r="AQ21" s="104">
        <f t="shared" si="6"/>
        <v>111.11111111111111</v>
      </c>
      <c r="AR21" s="104">
        <f t="shared" si="7"/>
        <v>111.11111111111111</v>
      </c>
      <c r="AS21" s="104" t="e">
        <f t="shared" si="7"/>
        <v>#DIV/0!</v>
      </c>
      <c r="AT21" s="108" t="e">
        <f t="shared" si="7"/>
        <v>#DIV/0!</v>
      </c>
      <c r="AU21" s="92">
        <f t="shared" si="27"/>
        <v>9</v>
      </c>
      <c r="AV21" s="93">
        <f t="shared" si="34"/>
        <v>2</v>
      </c>
      <c r="AW21" s="95">
        <v>2</v>
      </c>
      <c r="AX21" s="95">
        <v>0</v>
      </c>
      <c r="AY21" s="94">
        <v>0</v>
      </c>
      <c r="AZ21" s="93">
        <f t="shared" si="28"/>
        <v>7</v>
      </c>
      <c r="BA21" s="94">
        <v>7</v>
      </c>
      <c r="BB21" s="94">
        <v>0</v>
      </c>
      <c r="BC21" s="96">
        <v>0</v>
      </c>
      <c r="BD21" s="213">
        <f t="shared" si="15"/>
        <v>69.23076923076923</v>
      </c>
      <c r="BE21" s="214">
        <f t="shared" si="16"/>
        <v>66.66666666666666</v>
      </c>
      <c r="BF21" s="215">
        <f t="shared" si="17"/>
        <v>66.66666666666666</v>
      </c>
      <c r="BG21" s="215">
        <v>0</v>
      </c>
      <c r="BH21" s="215">
        <v>0</v>
      </c>
      <c r="BI21" s="214">
        <f t="shared" si="18"/>
        <v>70</v>
      </c>
      <c r="BJ21" s="215">
        <f t="shared" si="19"/>
        <v>70</v>
      </c>
      <c r="BK21" s="215">
        <v>0</v>
      </c>
      <c r="BL21" s="216">
        <v>0</v>
      </c>
      <c r="BM21" s="92">
        <f t="shared" si="29"/>
        <v>8</v>
      </c>
      <c r="BN21" s="93">
        <f t="shared" si="36"/>
        <v>2</v>
      </c>
      <c r="BO21" s="95">
        <v>2</v>
      </c>
      <c r="BP21" s="95">
        <v>0</v>
      </c>
      <c r="BQ21" s="94">
        <v>0</v>
      </c>
      <c r="BR21" s="93">
        <f t="shared" si="30"/>
        <v>6</v>
      </c>
      <c r="BS21" s="94">
        <v>6</v>
      </c>
      <c r="BT21" s="94">
        <v>0</v>
      </c>
      <c r="BU21" s="113">
        <v>0</v>
      </c>
      <c r="BV21" s="213">
        <f t="shared" si="9"/>
        <v>88.88888888888889</v>
      </c>
      <c r="BW21" s="214">
        <f t="shared" si="39"/>
        <v>100</v>
      </c>
      <c r="BX21" s="215">
        <f t="shared" si="40"/>
        <v>100</v>
      </c>
      <c r="BY21" s="215">
        <v>0</v>
      </c>
      <c r="BZ21" s="215">
        <v>0</v>
      </c>
      <c r="CA21" s="214">
        <f t="shared" si="41"/>
        <v>85.71428571428571</v>
      </c>
      <c r="CB21" s="215">
        <f t="shared" si="42"/>
        <v>85.71428571428571</v>
      </c>
      <c r="CC21" s="215">
        <v>0</v>
      </c>
      <c r="CD21" s="216">
        <v>0</v>
      </c>
    </row>
    <row r="22" spans="1:82" ht="32.25" customHeight="1">
      <c r="A22" s="56" t="s">
        <v>25</v>
      </c>
      <c r="B22" s="101">
        <f t="shared" si="20"/>
        <v>71</v>
      </c>
      <c r="C22" s="123">
        <f t="shared" si="21"/>
        <v>34</v>
      </c>
      <c r="D22" s="125">
        <v>31</v>
      </c>
      <c r="E22" s="16">
        <v>3</v>
      </c>
      <c r="F22" s="16">
        <v>0</v>
      </c>
      <c r="G22" s="102">
        <f t="shared" si="22"/>
        <v>37</v>
      </c>
      <c r="H22" s="300">
        <v>37</v>
      </c>
      <c r="I22" s="300">
        <v>0</v>
      </c>
      <c r="J22" s="301"/>
      <c r="K22" s="92">
        <f t="shared" si="23"/>
        <v>72</v>
      </c>
      <c r="L22" s="93">
        <f t="shared" si="31"/>
        <v>32</v>
      </c>
      <c r="M22" s="129">
        <v>30</v>
      </c>
      <c r="N22" s="129">
        <v>2</v>
      </c>
      <c r="O22" s="126">
        <v>0</v>
      </c>
      <c r="P22" s="93">
        <f t="shared" si="24"/>
        <v>40</v>
      </c>
      <c r="Q22" s="94">
        <v>40</v>
      </c>
      <c r="R22" s="94">
        <v>0</v>
      </c>
      <c r="S22" s="103">
        <v>0</v>
      </c>
      <c r="T22" s="100">
        <f t="shared" si="11"/>
        <v>101.40845070422534</v>
      </c>
      <c r="U22" s="104">
        <f t="shared" si="12"/>
        <v>94.11764705882352</v>
      </c>
      <c r="V22" s="104">
        <f t="shared" si="37"/>
        <v>96.7741935483871</v>
      </c>
      <c r="W22" s="104">
        <f t="shared" si="32"/>
        <v>66.66666666666666</v>
      </c>
      <c r="X22" s="104">
        <v>0</v>
      </c>
      <c r="Y22" s="104">
        <f t="shared" si="13"/>
        <v>108.10810810810811</v>
      </c>
      <c r="Z22" s="105"/>
      <c r="AA22" s="105"/>
      <c r="AB22" s="106"/>
      <c r="AC22" s="92">
        <f t="shared" si="25"/>
        <v>72</v>
      </c>
      <c r="AD22" s="93">
        <f t="shared" si="33"/>
        <v>31</v>
      </c>
      <c r="AE22" s="129">
        <v>29</v>
      </c>
      <c r="AF22" s="129">
        <v>2</v>
      </c>
      <c r="AG22" s="126">
        <v>0</v>
      </c>
      <c r="AH22" s="93">
        <f t="shared" si="26"/>
        <v>41</v>
      </c>
      <c r="AI22" s="94">
        <v>41</v>
      </c>
      <c r="AJ22" s="94">
        <v>0</v>
      </c>
      <c r="AK22" s="96">
        <v>0</v>
      </c>
      <c r="AL22" s="107">
        <f t="shared" si="14"/>
        <v>100</v>
      </c>
      <c r="AM22" s="104">
        <f t="shared" si="3"/>
        <v>96.875</v>
      </c>
      <c r="AN22" s="104">
        <f t="shared" si="4"/>
        <v>96.66666666666667</v>
      </c>
      <c r="AO22" s="104">
        <f t="shared" si="5"/>
        <v>100</v>
      </c>
      <c r="AP22" s="104"/>
      <c r="AQ22" s="104">
        <f t="shared" si="6"/>
        <v>102.49999999999999</v>
      </c>
      <c r="AR22" s="104">
        <f t="shared" si="7"/>
        <v>102.49999999999999</v>
      </c>
      <c r="AS22" s="104" t="e">
        <f t="shared" si="7"/>
        <v>#DIV/0!</v>
      </c>
      <c r="AT22" s="108" t="e">
        <f t="shared" si="7"/>
        <v>#DIV/0!</v>
      </c>
      <c r="AU22" s="92">
        <f t="shared" si="27"/>
        <v>69</v>
      </c>
      <c r="AV22" s="93">
        <f t="shared" si="34"/>
        <v>28</v>
      </c>
      <c r="AW22" s="95">
        <v>26</v>
      </c>
      <c r="AX22" s="95">
        <v>2</v>
      </c>
      <c r="AY22" s="94">
        <v>0</v>
      </c>
      <c r="AZ22" s="93">
        <f t="shared" si="28"/>
        <v>41</v>
      </c>
      <c r="BA22" s="94">
        <v>41</v>
      </c>
      <c r="BB22" s="94">
        <v>0</v>
      </c>
      <c r="BC22" s="96">
        <v>0</v>
      </c>
      <c r="BD22" s="213">
        <f t="shared" si="15"/>
        <v>95.83333333333334</v>
      </c>
      <c r="BE22" s="214">
        <f t="shared" si="16"/>
        <v>90.32258064516128</v>
      </c>
      <c r="BF22" s="215">
        <f t="shared" si="17"/>
        <v>89.65517241379311</v>
      </c>
      <c r="BG22" s="215">
        <f t="shared" si="35"/>
        <v>100</v>
      </c>
      <c r="BH22" s="215">
        <v>0</v>
      </c>
      <c r="BI22" s="214">
        <f t="shared" si="18"/>
        <v>100</v>
      </c>
      <c r="BJ22" s="215">
        <f t="shared" si="19"/>
        <v>100</v>
      </c>
      <c r="BK22" s="215">
        <v>0</v>
      </c>
      <c r="BL22" s="216">
        <v>0</v>
      </c>
      <c r="BM22" s="92">
        <f t="shared" si="29"/>
        <v>68</v>
      </c>
      <c r="BN22" s="93">
        <f t="shared" si="36"/>
        <v>27</v>
      </c>
      <c r="BO22" s="95">
        <v>25</v>
      </c>
      <c r="BP22" s="95">
        <v>2</v>
      </c>
      <c r="BQ22" s="94">
        <v>0</v>
      </c>
      <c r="BR22" s="93">
        <f t="shared" si="30"/>
        <v>41</v>
      </c>
      <c r="BS22" s="94">
        <v>41</v>
      </c>
      <c r="BT22" s="94">
        <v>0</v>
      </c>
      <c r="BU22" s="113">
        <v>0</v>
      </c>
      <c r="BV22" s="213">
        <f t="shared" si="9"/>
        <v>98.55072463768117</v>
      </c>
      <c r="BW22" s="214">
        <f t="shared" si="39"/>
        <v>96.42857142857143</v>
      </c>
      <c r="BX22" s="215">
        <f t="shared" si="40"/>
        <v>96.15384615384616</v>
      </c>
      <c r="BY22" s="215">
        <f>BP22/AX22*100</f>
        <v>100</v>
      </c>
      <c r="BZ22" s="215">
        <v>0</v>
      </c>
      <c r="CA22" s="214">
        <f t="shared" si="41"/>
        <v>100</v>
      </c>
      <c r="CB22" s="215">
        <f t="shared" si="42"/>
        <v>100</v>
      </c>
      <c r="CC22" s="215">
        <v>0</v>
      </c>
      <c r="CD22" s="216">
        <v>0</v>
      </c>
    </row>
    <row r="23" spans="1:82" ht="31.5" customHeight="1">
      <c r="A23" s="56" t="s">
        <v>15</v>
      </c>
      <c r="B23" s="101">
        <f t="shared" si="20"/>
        <v>60</v>
      </c>
      <c r="C23" s="123">
        <f t="shared" si="21"/>
        <v>19</v>
      </c>
      <c r="D23" s="125">
        <v>19</v>
      </c>
      <c r="E23" s="16">
        <v>0</v>
      </c>
      <c r="F23" s="16">
        <v>0</v>
      </c>
      <c r="G23" s="102">
        <f t="shared" si="22"/>
        <v>41</v>
      </c>
      <c r="H23" s="300">
        <v>41</v>
      </c>
      <c r="I23" s="300">
        <v>0</v>
      </c>
      <c r="J23" s="301"/>
      <c r="K23" s="92">
        <f t="shared" si="23"/>
        <v>74</v>
      </c>
      <c r="L23" s="93">
        <f t="shared" si="31"/>
        <v>19</v>
      </c>
      <c r="M23" s="129">
        <v>19</v>
      </c>
      <c r="N23" s="129">
        <v>0</v>
      </c>
      <c r="O23" s="126">
        <v>0</v>
      </c>
      <c r="P23" s="93">
        <f t="shared" si="24"/>
        <v>55</v>
      </c>
      <c r="Q23" s="94">
        <v>55</v>
      </c>
      <c r="R23" s="94">
        <v>0</v>
      </c>
      <c r="S23" s="103">
        <v>0</v>
      </c>
      <c r="T23" s="100">
        <f t="shared" si="11"/>
        <v>123.33333333333334</v>
      </c>
      <c r="U23" s="104">
        <f t="shared" si="12"/>
        <v>100</v>
      </c>
      <c r="V23" s="104">
        <f t="shared" si="37"/>
        <v>100</v>
      </c>
      <c r="W23" s="104">
        <v>0</v>
      </c>
      <c r="X23" s="104">
        <v>0</v>
      </c>
      <c r="Y23" s="104">
        <f t="shared" si="13"/>
        <v>134.14634146341464</v>
      </c>
      <c r="Z23" s="105"/>
      <c r="AA23" s="105"/>
      <c r="AB23" s="106"/>
      <c r="AC23" s="92">
        <f t="shared" si="25"/>
        <v>75</v>
      </c>
      <c r="AD23" s="93">
        <f t="shared" si="33"/>
        <v>20</v>
      </c>
      <c r="AE23" s="129">
        <v>20</v>
      </c>
      <c r="AF23" s="129">
        <v>0</v>
      </c>
      <c r="AG23" s="126">
        <v>0</v>
      </c>
      <c r="AH23" s="93">
        <f t="shared" si="26"/>
        <v>55</v>
      </c>
      <c r="AI23" s="94">
        <v>55</v>
      </c>
      <c r="AJ23" s="94">
        <v>0</v>
      </c>
      <c r="AK23" s="96">
        <v>0</v>
      </c>
      <c r="AL23" s="107">
        <f t="shared" si="14"/>
        <v>101.35135135135135</v>
      </c>
      <c r="AM23" s="104">
        <f t="shared" si="3"/>
        <v>105.26315789473684</v>
      </c>
      <c r="AN23" s="104">
        <f t="shared" si="4"/>
        <v>105.26315789473684</v>
      </c>
      <c r="AO23" s="104"/>
      <c r="AP23" s="104"/>
      <c r="AQ23" s="104">
        <f t="shared" si="6"/>
        <v>100</v>
      </c>
      <c r="AR23" s="104">
        <f aca="true" t="shared" si="43" ref="AR23:AR31">AI23/Q23*100</f>
        <v>100</v>
      </c>
      <c r="AS23" s="104" t="e">
        <f aca="true" t="shared" si="44" ref="AS23:AS31">AJ23/R23*100</f>
        <v>#DIV/0!</v>
      </c>
      <c r="AT23" s="108" t="e">
        <f aca="true" t="shared" si="45" ref="AT23:AT31">AK23/S23*100</f>
        <v>#DIV/0!</v>
      </c>
      <c r="AU23" s="92">
        <f t="shared" si="27"/>
        <v>80</v>
      </c>
      <c r="AV23" s="93">
        <f t="shared" si="34"/>
        <v>17</v>
      </c>
      <c r="AW23" s="95">
        <v>17</v>
      </c>
      <c r="AX23" s="95">
        <v>0</v>
      </c>
      <c r="AY23" s="94">
        <v>0</v>
      </c>
      <c r="AZ23" s="93">
        <f t="shared" si="28"/>
        <v>63</v>
      </c>
      <c r="BA23" s="94">
        <v>63</v>
      </c>
      <c r="BB23" s="94">
        <v>0</v>
      </c>
      <c r="BC23" s="96">
        <v>0</v>
      </c>
      <c r="BD23" s="213">
        <f t="shared" si="15"/>
        <v>106.66666666666667</v>
      </c>
      <c r="BE23" s="214">
        <f t="shared" si="16"/>
        <v>85</v>
      </c>
      <c r="BF23" s="215">
        <f t="shared" si="17"/>
        <v>85</v>
      </c>
      <c r="BG23" s="215">
        <v>0</v>
      </c>
      <c r="BH23" s="215">
        <v>0</v>
      </c>
      <c r="BI23" s="214">
        <f t="shared" si="18"/>
        <v>114.54545454545455</v>
      </c>
      <c r="BJ23" s="215">
        <f t="shared" si="19"/>
        <v>114.54545454545455</v>
      </c>
      <c r="BK23" s="215">
        <v>0</v>
      </c>
      <c r="BL23" s="216">
        <v>0</v>
      </c>
      <c r="BM23" s="92">
        <f t="shared" si="29"/>
        <v>63</v>
      </c>
      <c r="BN23" s="93">
        <f t="shared" si="36"/>
        <v>20</v>
      </c>
      <c r="BO23" s="95">
        <v>20</v>
      </c>
      <c r="BP23" s="95">
        <v>0</v>
      </c>
      <c r="BQ23" s="94">
        <v>0</v>
      </c>
      <c r="BR23" s="93">
        <f t="shared" si="30"/>
        <v>43</v>
      </c>
      <c r="BS23" s="94">
        <v>43</v>
      </c>
      <c r="BT23" s="94">
        <v>0</v>
      </c>
      <c r="BU23" s="113">
        <v>0</v>
      </c>
      <c r="BV23" s="213">
        <f t="shared" si="9"/>
        <v>78.75</v>
      </c>
      <c r="BW23" s="214">
        <f t="shared" si="39"/>
        <v>117.64705882352942</v>
      </c>
      <c r="BX23" s="215">
        <f t="shared" si="40"/>
        <v>117.64705882352942</v>
      </c>
      <c r="BY23" s="215">
        <v>0</v>
      </c>
      <c r="BZ23" s="215">
        <v>0</v>
      </c>
      <c r="CA23" s="214">
        <f t="shared" si="41"/>
        <v>68.25396825396825</v>
      </c>
      <c r="CB23" s="215">
        <f t="shared" si="42"/>
        <v>68.25396825396825</v>
      </c>
      <c r="CC23" s="215">
        <v>0</v>
      </c>
      <c r="CD23" s="216">
        <v>0</v>
      </c>
    </row>
    <row r="24" spans="1:82" ht="42" customHeight="1">
      <c r="A24" s="56" t="s">
        <v>26</v>
      </c>
      <c r="B24" s="101">
        <f t="shared" si="20"/>
        <v>41</v>
      </c>
      <c r="C24" s="123">
        <f t="shared" si="21"/>
        <v>20</v>
      </c>
      <c r="D24" s="125">
        <v>19</v>
      </c>
      <c r="E24" s="16">
        <v>1</v>
      </c>
      <c r="F24" s="16">
        <v>0</v>
      </c>
      <c r="G24" s="102">
        <f t="shared" si="22"/>
        <v>21</v>
      </c>
      <c r="H24" s="300">
        <v>21</v>
      </c>
      <c r="I24" s="300">
        <v>0</v>
      </c>
      <c r="J24" s="301"/>
      <c r="K24" s="92">
        <f t="shared" si="23"/>
        <v>45</v>
      </c>
      <c r="L24" s="93">
        <f t="shared" si="31"/>
        <v>20</v>
      </c>
      <c r="M24" s="129">
        <v>18</v>
      </c>
      <c r="N24" s="129">
        <v>2</v>
      </c>
      <c r="O24" s="126">
        <v>0</v>
      </c>
      <c r="P24" s="93">
        <f t="shared" si="24"/>
        <v>25</v>
      </c>
      <c r="Q24" s="94">
        <v>25</v>
      </c>
      <c r="R24" s="94">
        <v>0</v>
      </c>
      <c r="S24" s="103">
        <v>0</v>
      </c>
      <c r="T24" s="100">
        <f t="shared" si="11"/>
        <v>109.75609756097562</v>
      </c>
      <c r="U24" s="104">
        <f t="shared" si="12"/>
        <v>100</v>
      </c>
      <c r="V24" s="104">
        <f t="shared" si="37"/>
        <v>94.73684210526315</v>
      </c>
      <c r="W24" s="104">
        <f t="shared" si="32"/>
        <v>200</v>
      </c>
      <c r="X24" s="104">
        <v>0</v>
      </c>
      <c r="Y24" s="104">
        <v>0</v>
      </c>
      <c r="Z24" s="105"/>
      <c r="AA24" s="105"/>
      <c r="AB24" s="106"/>
      <c r="AC24" s="92">
        <f t="shared" si="25"/>
        <v>41</v>
      </c>
      <c r="AD24" s="93">
        <f t="shared" si="33"/>
        <v>20</v>
      </c>
      <c r="AE24" s="129">
        <v>17</v>
      </c>
      <c r="AF24" s="129">
        <v>3</v>
      </c>
      <c r="AG24" s="126">
        <v>0</v>
      </c>
      <c r="AH24" s="93">
        <f t="shared" si="26"/>
        <v>21</v>
      </c>
      <c r="AI24" s="94">
        <v>21</v>
      </c>
      <c r="AJ24" s="94">
        <v>0</v>
      </c>
      <c r="AK24" s="96">
        <v>0</v>
      </c>
      <c r="AL24" s="107">
        <f t="shared" si="14"/>
        <v>91.11111111111111</v>
      </c>
      <c r="AM24" s="104">
        <f t="shared" si="3"/>
        <v>100</v>
      </c>
      <c r="AN24" s="104">
        <f t="shared" si="4"/>
        <v>94.44444444444444</v>
      </c>
      <c r="AO24" s="104">
        <f t="shared" si="5"/>
        <v>150</v>
      </c>
      <c r="AP24" s="104"/>
      <c r="AQ24" s="104">
        <f t="shared" si="6"/>
        <v>84</v>
      </c>
      <c r="AR24" s="104">
        <f t="shared" si="43"/>
        <v>84</v>
      </c>
      <c r="AS24" s="104" t="e">
        <f t="shared" si="44"/>
        <v>#DIV/0!</v>
      </c>
      <c r="AT24" s="108" t="e">
        <f t="shared" si="45"/>
        <v>#DIV/0!</v>
      </c>
      <c r="AU24" s="92">
        <f t="shared" si="27"/>
        <v>33</v>
      </c>
      <c r="AV24" s="93">
        <f t="shared" si="34"/>
        <v>20</v>
      </c>
      <c r="AW24" s="95">
        <v>16</v>
      </c>
      <c r="AX24" s="95">
        <v>4</v>
      </c>
      <c r="AY24" s="94">
        <v>0</v>
      </c>
      <c r="AZ24" s="93">
        <f t="shared" si="28"/>
        <v>13</v>
      </c>
      <c r="BA24" s="94">
        <v>13</v>
      </c>
      <c r="BB24" s="94">
        <v>0</v>
      </c>
      <c r="BC24" s="96">
        <v>0</v>
      </c>
      <c r="BD24" s="213">
        <f t="shared" si="15"/>
        <v>80.48780487804879</v>
      </c>
      <c r="BE24" s="214">
        <f t="shared" si="16"/>
        <v>100</v>
      </c>
      <c r="BF24" s="215">
        <f t="shared" si="17"/>
        <v>94.11764705882352</v>
      </c>
      <c r="BG24" s="215">
        <f t="shared" si="35"/>
        <v>133.33333333333331</v>
      </c>
      <c r="BH24" s="215">
        <v>0</v>
      </c>
      <c r="BI24" s="214">
        <f t="shared" si="18"/>
        <v>61.904761904761905</v>
      </c>
      <c r="BJ24" s="215">
        <f t="shared" si="19"/>
        <v>61.904761904761905</v>
      </c>
      <c r="BK24" s="215">
        <v>0</v>
      </c>
      <c r="BL24" s="216">
        <v>0</v>
      </c>
      <c r="BM24" s="92">
        <f t="shared" si="29"/>
        <v>49</v>
      </c>
      <c r="BN24" s="93">
        <f t="shared" si="36"/>
        <v>22</v>
      </c>
      <c r="BO24" s="95">
        <v>21</v>
      </c>
      <c r="BP24" s="95">
        <v>1</v>
      </c>
      <c r="BQ24" s="94">
        <v>0</v>
      </c>
      <c r="BR24" s="93">
        <f t="shared" si="30"/>
        <v>27</v>
      </c>
      <c r="BS24" s="94">
        <v>27</v>
      </c>
      <c r="BT24" s="94">
        <v>0</v>
      </c>
      <c r="BU24" s="113">
        <v>0</v>
      </c>
      <c r="BV24" s="213">
        <f t="shared" si="9"/>
        <v>148.4848484848485</v>
      </c>
      <c r="BW24" s="214">
        <f t="shared" si="39"/>
        <v>110.00000000000001</v>
      </c>
      <c r="BX24" s="215">
        <f t="shared" si="40"/>
        <v>131.25</v>
      </c>
      <c r="BY24" s="215">
        <f>BP24/AX24*100</f>
        <v>25</v>
      </c>
      <c r="BZ24" s="215">
        <v>0</v>
      </c>
      <c r="CA24" s="214">
        <f t="shared" si="41"/>
        <v>207.6923076923077</v>
      </c>
      <c r="CB24" s="215">
        <f t="shared" si="42"/>
        <v>207.6923076923077</v>
      </c>
      <c r="CC24" s="215">
        <v>0</v>
      </c>
      <c r="CD24" s="216">
        <v>0</v>
      </c>
    </row>
    <row r="25" spans="1:82" ht="39" customHeight="1">
      <c r="A25" s="56" t="s">
        <v>30</v>
      </c>
      <c r="B25" s="101">
        <f t="shared" si="20"/>
        <v>1</v>
      </c>
      <c r="C25" s="123">
        <f t="shared" si="21"/>
        <v>0</v>
      </c>
      <c r="D25" s="125">
        <v>0</v>
      </c>
      <c r="E25" s="16">
        <v>0</v>
      </c>
      <c r="F25" s="16">
        <v>0</v>
      </c>
      <c r="G25" s="102">
        <f t="shared" si="22"/>
        <v>1</v>
      </c>
      <c r="H25" s="300">
        <v>1</v>
      </c>
      <c r="I25" s="300">
        <v>0</v>
      </c>
      <c r="J25" s="301"/>
      <c r="K25" s="92">
        <f t="shared" si="23"/>
        <v>2</v>
      </c>
      <c r="L25" s="93">
        <f t="shared" si="31"/>
        <v>1</v>
      </c>
      <c r="M25" s="126">
        <v>1</v>
      </c>
      <c r="N25" s="126">
        <v>0</v>
      </c>
      <c r="O25" s="126">
        <v>0</v>
      </c>
      <c r="P25" s="93">
        <f t="shared" si="24"/>
        <v>1</v>
      </c>
      <c r="Q25" s="94">
        <v>1</v>
      </c>
      <c r="R25" s="94">
        <v>0</v>
      </c>
      <c r="S25" s="103">
        <v>0</v>
      </c>
      <c r="T25" s="100">
        <f t="shared" si="11"/>
        <v>200</v>
      </c>
      <c r="U25" s="104">
        <v>0</v>
      </c>
      <c r="V25" s="104">
        <v>0</v>
      </c>
      <c r="W25" s="104">
        <v>0</v>
      </c>
      <c r="X25" s="104">
        <v>0</v>
      </c>
      <c r="Y25" s="104">
        <f t="shared" si="13"/>
        <v>100</v>
      </c>
      <c r="Z25" s="105"/>
      <c r="AA25" s="105"/>
      <c r="AB25" s="106"/>
      <c r="AC25" s="92">
        <f t="shared" si="25"/>
        <v>1</v>
      </c>
      <c r="AD25" s="93">
        <f t="shared" si="33"/>
        <v>1</v>
      </c>
      <c r="AE25" s="126">
        <v>1</v>
      </c>
      <c r="AF25" s="126">
        <v>0</v>
      </c>
      <c r="AG25" s="126">
        <v>0</v>
      </c>
      <c r="AH25" s="93">
        <f t="shared" si="26"/>
        <v>0</v>
      </c>
      <c r="AI25" s="94">
        <v>0</v>
      </c>
      <c r="AJ25" s="94">
        <v>0</v>
      </c>
      <c r="AK25" s="96">
        <v>0</v>
      </c>
      <c r="AL25" s="107">
        <f t="shared" si="14"/>
        <v>50</v>
      </c>
      <c r="AM25" s="104">
        <f t="shared" si="3"/>
        <v>100</v>
      </c>
      <c r="AN25" s="104">
        <f t="shared" si="4"/>
        <v>100</v>
      </c>
      <c r="AO25" s="104"/>
      <c r="AP25" s="104"/>
      <c r="AQ25" s="104">
        <f t="shared" si="6"/>
        <v>0</v>
      </c>
      <c r="AR25" s="104">
        <f t="shared" si="43"/>
        <v>0</v>
      </c>
      <c r="AS25" s="104" t="e">
        <f t="shared" si="44"/>
        <v>#DIV/0!</v>
      </c>
      <c r="AT25" s="108" t="e">
        <f t="shared" si="45"/>
        <v>#DIV/0!</v>
      </c>
      <c r="AU25" s="92">
        <f t="shared" si="27"/>
        <v>1</v>
      </c>
      <c r="AV25" s="93">
        <f t="shared" si="34"/>
        <v>1</v>
      </c>
      <c r="AW25" s="94">
        <v>1</v>
      </c>
      <c r="AX25" s="94">
        <v>0</v>
      </c>
      <c r="AY25" s="94">
        <v>0</v>
      </c>
      <c r="AZ25" s="93">
        <f t="shared" si="28"/>
        <v>0</v>
      </c>
      <c r="BA25" s="94">
        <v>0</v>
      </c>
      <c r="BB25" s="94">
        <v>0</v>
      </c>
      <c r="BC25" s="96">
        <v>0</v>
      </c>
      <c r="BD25" s="213">
        <f t="shared" si="15"/>
        <v>100</v>
      </c>
      <c r="BE25" s="214">
        <f t="shared" si="16"/>
        <v>100</v>
      </c>
      <c r="BF25" s="215">
        <f t="shared" si="17"/>
        <v>100</v>
      </c>
      <c r="BG25" s="215">
        <v>0</v>
      </c>
      <c r="BH25" s="215">
        <v>0</v>
      </c>
      <c r="BI25" s="214">
        <v>0</v>
      </c>
      <c r="BJ25" s="215">
        <v>0</v>
      </c>
      <c r="BK25" s="215">
        <v>0</v>
      </c>
      <c r="BL25" s="216">
        <v>0</v>
      </c>
      <c r="BM25" s="92">
        <f t="shared" si="29"/>
        <v>1</v>
      </c>
      <c r="BN25" s="93">
        <f t="shared" si="36"/>
        <v>1</v>
      </c>
      <c r="BO25" s="94">
        <v>1</v>
      </c>
      <c r="BP25" s="94">
        <v>0</v>
      </c>
      <c r="BQ25" s="94">
        <v>0</v>
      </c>
      <c r="BR25" s="93">
        <f t="shared" si="30"/>
        <v>0</v>
      </c>
      <c r="BS25" s="94">
        <v>0</v>
      </c>
      <c r="BT25" s="94">
        <v>0</v>
      </c>
      <c r="BU25" s="113">
        <v>0</v>
      </c>
      <c r="BV25" s="213">
        <f t="shared" si="9"/>
        <v>100</v>
      </c>
      <c r="BW25" s="214">
        <f t="shared" si="39"/>
        <v>100</v>
      </c>
      <c r="BX25" s="215">
        <f t="shared" si="40"/>
        <v>100</v>
      </c>
      <c r="BY25" s="215">
        <v>0</v>
      </c>
      <c r="BZ25" s="215">
        <v>0</v>
      </c>
      <c r="CA25" s="214">
        <v>0</v>
      </c>
      <c r="CB25" s="215">
        <v>0</v>
      </c>
      <c r="CC25" s="215">
        <v>0</v>
      </c>
      <c r="CD25" s="216">
        <v>0</v>
      </c>
    </row>
    <row r="26" spans="1:82" ht="12.75" customHeight="1">
      <c r="A26" s="56" t="s">
        <v>5</v>
      </c>
      <c r="B26" s="101">
        <f t="shared" si="20"/>
        <v>14</v>
      </c>
      <c r="C26" s="123">
        <f t="shared" si="21"/>
        <v>1</v>
      </c>
      <c r="D26" s="125">
        <v>0</v>
      </c>
      <c r="E26" s="16">
        <v>1</v>
      </c>
      <c r="F26" s="16">
        <v>0</v>
      </c>
      <c r="G26" s="102">
        <f t="shared" si="22"/>
        <v>13</v>
      </c>
      <c r="H26" s="300">
        <v>13</v>
      </c>
      <c r="I26" s="300">
        <v>0</v>
      </c>
      <c r="J26" s="301"/>
      <c r="K26" s="92">
        <f t="shared" si="23"/>
        <v>11</v>
      </c>
      <c r="L26" s="93">
        <f t="shared" si="31"/>
        <v>1</v>
      </c>
      <c r="M26" s="126">
        <v>0</v>
      </c>
      <c r="N26" s="126">
        <v>1</v>
      </c>
      <c r="O26" s="126">
        <v>0</v>
      </c>
      <c r="P26" s="93">
        <f t="shared" si="24"/>
        <v>10</v>
      </c>
      <c r="Q26" s="94">
        <v>10</v>
      </c>
      <c r="R26" s="94">
        <v>0</v>
      </c>
      <c r="S26" s="103">
        <v>0</v>
      </c>
      <c r="T26" s="100">
        <f t="shared" si="11"/>
        <v>78.57142857142857</v>
      </c>
      <c r="U26" s="104">
        <f t="shared" si="12"/>
        <v>100</v>
      </c>
      <c r="V26" s="104">
        <v>0</v>
      </c>
      <c r="W26" s="104">
        <f t="shared" si="32"/>
        <v>100</v>
      </c>
      <c r="X26" s="104">
        <v>0</v>
      </c>
      <c r="Y26" s="104">
        <f t="shared" si="13"/>
        <v>76.92307692307693</v>
      </c>
      <c r="Z26" s="105"/>
      <c r="AA26" s="105"/>
      <c r="AB26" s="106"/>
      <c r="AC26" s="92">
        <f t="shared" si="25"/>
        <v>12</v>
      </c>
      <c r="AD26" s="93">
        <f t="shared" si="33"/>
        <v>1</v>
      </c>
      <c r="AE26" s="126">
        <v>1</v>
      </c>
      <c r="AF26" s="126">
        <v>0</v>
      </c>
      <c r="AG26" s="126">
        <v>0</v>
      </c>
      <c r="AH26" s="93">
        <f t="shared" si="26"/>
        <v>11</v>
      </c>
      <c r="AI26" s="94">
        <v>11</v>
      </c>
      <c r="AJ26" s="94">
        <v>0</v>
      </c>
      <c r="AK26" s="96">
        <v>0</v>
      </c>
      <c r="AL26" s="107">
        <f t="shared" si="14"/>
        <v>109.09090909090908</v>
      </c>
      <c r="AM26" s="104">
        <f t="shared" si="3"/>
        <v>100</v>
      </c>
      <c r="AN26" s="104"/>
      <c r="AO26" s="104">
        <f t="shared" si="5"/>
        <v>0</v>
      </c>
      <c r="AP26" s="104"/>
      <c r="AQ26" s="104">
        <f t="shared" si="6"/>
        <v>110.00000000000001</v>
      </c>
      <c r="AR26" s="104">
        <f t="shared" si="43"/>
        <v>110.00000000000001</v>
      </c>
      <c r="AS26" s="104" t="e">
        <f t="shared" si="44"/>
        <v>#DIV/0!</v>
      </c>
      <c r="AT26" s="108" t="e">
        <f t="shared" si="45"/>
        <v>#DIV/0!</v>
      </c>
      <c r="AU26" s="92">
        <f t="shared" si="27"/>
        <v>11</v>
      </c>
      <c r="AV26" s="93">
        <f t="shared" si="34"/>
        <v>0</v>
      </c>
      <c r="AW26" s="94">
        <v>0</v>
      </c>
      <c r="AX26" s="94">
        <v>0</v>
      </c>
      <c r="AY26" s="94">
        <v>0</v>
      </c>
      <c r="AZ26" s="93">
        <f t="shared" si="28"/>
        <v>11</v>
      </c>
      <c r="BA26" s="94">
        <v>11</v>
      </c>
      <c r="BB26" s="94">
        <v>0</v>
      </c>
      <c r="BC26" s="96">
        <v>0</v>
      </c>
      <c r="BD26" s="213">
        <f t="shared" si="15"/>
        <v>91.66666666666666</v>
      </c>
      <c r="BE26" s="214">
        <f t="shared" si="16"/>
        <v>0</v>
      </c>
      <c r="BF26" s="215">
        <f t="shared" si="17"/>
        <v>0</v>
      </c>
      <c r="BG26" s="215">
        <v>0</v>
      </c>
      <c r="BH26" s="215">
        <v>0</v>
      </c>
      <c r="BI26" s="214">
        <f t="shared" si="18"/>
        <v>100</v>
      </c>
      <c r="BJ26" s="215">
        <f t="shared" si="19"/>
        <v>100</v>
      </c>
      <c r="BK26" s="215">
        <v>0</v>
      </c>
      <c r="BL26" s="216">
        <v>0</v>
      </c>
      <c r="BM26" s="92">
        <f t="shared" si="29"/>
        <v>17</v>
      </c>
      <c r="BN26" s="93">
        <f t="shared" si="36"/>
        <v>0</v>
      </c>
      <c r="BO26" s="94">
        <v>0</v>
      </c>
      <c r="BP26" s="94">
        <v>0</v>
      </c>
      <c r="BQ26" s="94">
        <v>0</v>
      </c>
      <c r="BR26" s="93">
        <f t="shared" si="30"/>
        <v>17</v>
      </c>
      <c r="BS26" s="94">
        <v>17</v>
      </c>
      <c r="BT26" s="94">
        <v>0</v>
      </c>
      <c r="BU26" s="113">
        <v>0</v>
      </c>
      <c r="BV26" s="213">
        <f t="shared" si="9"/>
        <v>154.54545454545453</v>
      </c>
      <c r="BW26" s="214">
        <v>0</v>
      </c>
      <c r="BX26" s="215">
        <v>0</v>
      </c>
      <c r="BY26" s="215">
        <v>0</v>
      </c>
      <c r="BZ26" s="215">
        <v>0</v>
      </c>
      <c r="CA26" s="214">
        <f aca="true" t="shared" si="46" ref="CA26:CB30">BR26/AZ26*100</f>
        <v>154.54545454545453</v>
      </c>
      <c r="CB26" s="215">
        <f t="shared" si="46"/>
        <v>154.54545454545453</v>
      </c>
      <c r="CC26" s="215">
        <v>0</v>
      </c>
      <c r="CD26" s="216">
        <v>0</v>
      </c>
    </row>
    <row r="27" spans="1:82" ht="12" customHeight="1">
      <c r="A27" s="56" t="s">
        <v>6</v>
      </c>
      <c r="B27" s="101">
        <f t="shared" si="20"/>
        <v>20</v>
      </c>
      <c r="C27" s="123">
        <f t="shared" si="21"/>
        <v>13</v>
      </c>
      <c r="D27" s="125">
        <v>10</v>
      </c>
      <c r="E27" s="16">
        <v>2</v>
      </c>
      <c r="F27" s="16">
        <v>1</v>
      </c>
      <c r="G27" s="102">
        <f t="shared" si="22"/>
        <v>7</v>
      </c>
      <c r="H27" s="300">
        <v>7</v>
      </c>
      <c r="I27" s="300">
        <v>0</v>
      </c>
      <c r="J27" s="301"/>
      <c r="K27" s="92">
        <f t="shared" si="23"/>
        <v>23</v>
      </c>
      <c r="L27" s="93">
        <f t="shared" si="31"/>
        <v>15</v>
      </c>
      <c r="M27" s="126">
        <v>12</v>
      </c>
      <c r="N27" s="126">
        <v>2</v>
      </c>
      <c r="O27" s="126">
        <v>1</v>
      </c>
      <c r="P27" s="93">
        <f t="shared" si="24"/>
        <v>8</v>
      </c>
      <c r="Q27" s="94">
        <v>8</v>
      </c>
      <c r="R27" s="94">
        <v>0</v>
      </c>
      <c r="S27" s="103">
        <v>0</v>
      </c>
      <c r="T27" s="100">
        <f t="shared" si="11"/>
        <v>114.99999999999999</v>
      </c>
      <c r="U27" s="104">
        <f t="shared" si="12"/>
        <v>115.38461538461537</v>
      </c>
      <c r="V27" s="104">
        <f t="shared" si="37"/>
        <v>120</v>
      </c>
      <c r="W27" s="104">
        <f t="shared" si="32"/>
        <v>100</v>
      </c>
      <c r="X27" s="104">
        <f>O27/F27*100</f>
        <v>100</v>
      </c>
      <c r="Y27" s="104">
        <f t="shared" si="13"/>
        <v>114.28571428571428</v>
      </c>
      <c r="Z27" s="105"/>
      <c r="AA27" s="105"/>
      <c r="AB27" s="106"/>
      <c r="AC27" s="92">
        <f t="shared" si="25"/>
        <v>22</v>
      </c>
      <c r="AD27" s="93">
        <f t="shared" si="33"/>
        <v>15</v>
      </c>
      <c r="AE27" s="126">
        <v>12</v>
      </c>
      <c r="AF27" s="126">
        <v>3</v>
      </c>
      <c r="AG27" s="126">
        <v>0</v>
      </c>
      <c r="AH27" s="93">
        <f t="shared" si="26"/>
        <v>7</v>
      </c>
      <c r="AI27" s="94">
        <v>7</v>
      </c>
      <c r="AJ27" s="94">
        <v>0</v>
      </c>
      <c r="AK27" s="96">
        <v>0</v>
      </c>
      <c r="AL27" s="107">
        <f t="shared" si="14"/>
        <v>95.65217391304348</v>
      </c>
      <c r="AM27" s="104">
        <f t="shared" si="3"/>
        <v>100</v>
      </c>
      <c r="AN27" s="104">
        <f t="shared" si="4"/>
        <v>100</v>
      </c>
      <c r="AO27" s="104">
        <f t="shared" si="5"/>
        <v>150</v>
      </c>
      <c r="AP27" s="104">
        <f>AG27/O27*100</f>
        <v>0</v>
      </c>
      <c r="AQ27" s="104">
        <f t="shared" si="6"/>
        <v>87.5</v>
      </c>
      <c r="AR27" s="104">
        <f t="shared" si="43"/>
        <v>87.5</v>
      </c>
      <c r="AS27" s="104" t="e">
        <f t="shared" si="44"/>
        <v>#DIV/0!</v>
      </c>
      <c r="AT27" s="108" t="e">
        <f t="shared" si="45"/>
        <v>#DIV/0!</v>
      </c>
      <c r="AU27" s="92">
        <f t="shared" si="27"/>
        <v>22</v>
      </c>
      <c r="AV27" s="93">
        <f t="shared" si="34"/>
        <v>15</v>
      </c>
      <c r="AW27" s="94">
        <v>12</v>
      </c>
      <c r="AX27" s="94">
        <v>3</v>
      </c>
      <c r="AY27" s="94">
        <v>0</v>
      </c>
      <c r="AZ27" s="93">
        <f t="shared" si="28"/>
        <v>7</v>
      </c>
      <c r="BA27" s="94">
        <v>7</v>
      </c>
      <c r="BB27" s="94">
        <v>0</v>
      </c>
      <c r="BC27" s="96">
        <v>0</v>
      </c>
      <c r="BD27" s="213">
        <f t="shared" si="15"/>
        <v>100</v>
      </c>
      <c r="BE27" s="214">
        <f t="shared" si="16"/>
        <v>100</v>
      </c>
      <c r="BF27" s="215">
        <f t="shared" si="17"/>
        <v>100</v>
      </c>
      <c r="BG27" s="215">
        <f t="shared" si="35"/>
        <v>100</v>
      </c>
      <c r="BH27" s="215">
        <v>0</v>
      </c>
      <c r="BI27" s="214">
        <f t="shared" si="18"/>
        <v>100</v>
      </c>
      <c r="BJ27" s="215">
        <f t="shared" si="19"/>
        <v>100</v>
      </c>
      <c r="BK27" s="215">
        <v>0</v>
      </c>
      <c r="BL27" s="216">
        <v>0</v>
      </c>
      <c r="BM27" s="92">
        <f t="shared" si="29"/>
        <v>21</v>
      </c>
      <c r="BN27" s="93">
        <f t="shared" si="36"/>
        <v>14</v>
      </c>
      <c r="BO27" s="94">
        <v>11</v>
      </c>
      <c r="BP27" s="94">
        <v>3</v>
      </c>
      <c r="BQ27" s="94">
        <v>0</v>
      </c>
      <c r="BR27" s="93">
        <f t="shared" si="30"/>
        <v>7</v>
      </c>
      <c r="BS27" s="94">
        <v>7</v>
      </c>
      <c r="BT27" s="94">
        <v>0</v>
      </c>
      <c r="BU27" s="113">
        <v>0</v>
      </c>
      <c r="BV27" s="213">
        <f t="shared" si="9"/>
        <v>95.45454545454545</v>
      </c>
      <c r="BW27" s="214">
        <f t="shared" si="39"/>
        <v>93.33333333333333</v>
      </c>
      <c r="BX27" s="215">
        <f t="shared" si="40"/>
        <v>91.66666666666666</v>
      </c>
      <c r="BY27" s="215">
        <f>BP27/AX27*100</f>
        <v>100</v>
      </c>
      <c r="BZ27" s="215">
        <v>0</v>
      </c>
      <c r="CA27" s="214">
        <f t="shared" si="46"/>
        <v>100</v>
      </c>
      <c r="CB27" s="215">
        <f t="shared" si="46"/>
        <v>100</v>
      </c>
      <c r="CC27" s="215">
        <v>0</v>
      </c>
      <c r="CD27" s="216">
        <v>0</v>
      </c>
    </row>
    <row r="28" spans="1:82" ht="23.25" customHeight="1">
      <c r="A28" s="56" t="s">
        <v>16</v>
      </c>
      <c r="B28" s="101">
        <f t="shared" si="20"/>
        <v>4</v>
      </c>
      <c r="C28" s="123">
        <f t="shared" si="21"/>
        <v>2</v>
      </c>
      <c r="D28" s="125">
        <v>2</v>
      </c>
      <c r="E28" s="126">
        <v>0</v>
      </c>
      <c r="F28" s="16">
        <v>0</v>
      </c>
      <c r="G28" s="102">
        <f t="shared" si="22"/>
        <v>2</v>
      </c>
      <c r="H28" s="300">
        <v>2</v>
      </c>
      <c r="I28" s="300">
        <v>0</v>
      </c>
      <c r="J28" s="301"/>
      <c r="K28" s="92">
        <f t="shared" si="23"/>
        <v>4</v>
      </c>
      <c r="L28" s="93">
        <f t="shared" si="31"/>
        <v>2</v>
      </c>
      <c r="M28" s="126">
        <v>2</v>
      </c>
      <c r="N28" s="126">
        <v>0</v>
      </c>
      <c r="O28" s="126">
        <v>0</v>
      </c>
      <c r="P28" s="93">
        <f t="shared" si="24"/>
        <v>2</v>
      </c>
      <c r="Q28" s="94">
        <v>2</v>
      </c>
      <c r="R28" s="94">
        <v>0</v>
      </c>
      <c r="S28" s="103">
        <v>0</v>
      </c>
      <c r="T28" s="100">
        <f t="shared" si="11"/>
        <v>100</v>
      </c>
      <c r="U28" s="104">
        <f t="shared" si="12"/>
        <v>100</v>
      </c>
      <c r="V28" s="104">
        <f t="shared" si="37"/>
        <v>100</v>
      </c>
      <c r="W28" s="104">
        <v>0</v>
      </c>
      <c r="X28" s="104">
        <v>0</v>
      </c>
      <c r="Y28" s="104">
        <f t="shared" si="13"/>
        <v>100</v>
      </c>
      <c r="Z28" s="105"/>
      <c r="AA28" s="105"/>
      <c r="AB28" s="106"/>
      <c r="AC28" s="92">
        <f t="shared" si="25"/>
        <v>3</v>
      </c>
      <c r="AD28" s="93">
        <f t="shared" si="33"/>
        <v>2</v>
      </c>
      <c r="AE28" s="126">
        <v>2</v>
      </c>
      <c r="AF28" s="126">
        <v>0</v>
      </c>
      <c r="AG28" s="126">
        <v>0</v>
      </c>
      <c r="AH28" s="93">
        <f t="shared" si="26"/>
        <v>1</v>
      </c>
      <c r="AI28" s="94">
        <v>1</v>
      </c>
      <c r="AJ28" s="94">
        <v>0</v>
      </c>
      <c r="AK28" s="96">
        <v>0</v>
      </c>
      <c r="AL28" s="107">
        <f t="shared" si="14"/>
        <v>75</v>
      </c>
      <c r="AM28" s="104">
        <f t="shared" si="3"/>
        <v>100</v>
      </c>
      <c r="AN28" s="104">
        <f t="shared" si="4"/>
        <v>100</v>
      </c>
      <c r="AO28" s="104"/>
      <c r="AP28" s="104"/>
      <c r="AQ28" s="104">
        <f t="shared" si="6"/>
        <v>50</v>
      </c>
      <c r="AR28" s="104">
        <f t="shared" si="43"/>
        <v>50</v>
      </c>
      <c r="AS28" s="104" t="e">
        <f t="shared" si="44"/>
        <v>#DIV/0!</v>
      </c>
      <c r="AT28" s="108" t="e">
        <f t="shared" si="45"/>
        <v>#DIV/0!</v>
      </c>
      <c r="AU28" s="92">
        <f t="shared" si="27"/>
        <v>3</v>
      </c>
      <c r="AV28" s="93">
        <f t="shared" si="34"/>
        <v>2</v>
      </c>
      <c r="AW28" s="94">
        <v>2</v>
      </c>
      <c r="AX28" s="94">
        <v>0</v>
      </c>
      <c r="AY28" s="94">
        <v>0</v>
      </c>
      <c r="AZ28" s="93">
        <f t="shared" si="28"/>
        <v>1</v>
      </c>
      <c r="BA28" s="94">
        <v>1</v>
      </c>
      <c r="BB28" s="94">
        <v>0</v>
      </c>
      <c r="BC28" s="96">
        <v>0</v>
      </c>
      <c r="BD28" s="213">
        <f t="shared" si="15"/>
        <v>100</v>
      </c>
      <c r="BE28" s="214">
        <f t="shared" si="16"/>
        <v>100</v>
      </c>
      <c r="BF28" s="215">
        <f t="shared" si="17"/>
        <v>100</v>
      </c>
      <c r="BG28" s="215">
        <v>0</v>
      </c>
      <c r="BH28" s="215">
        <v>0</v>
      </c>
      <c r="BI28" s="214">
        <f t="shared" si="18"/>
        <v>100</v>
      </c>
      <c r="BJ28" s="215">
        <f t="shared" si="19"/>
        <v>100</v>
      </c>
      <c r="BK28" s="215">
        <v>0</v>
      </c>
      <c r="BL28" s="216">
        <v>0</v>
      </c>
      <c r="BM28" s="92">
        <f t="shared" si="29"/>
        <v>3</v>
      </c>
      <c r="BN28" s="93">
        <f t="shared" si="36"/>
        <v>2</v>
      </c>
      <c r="BO28" s="94">
        <v>2</v>
      </c>
      <c r="BP28" s="94">
        <v>0</v>
      </c>
      <c r="BQ28" s="94">
        <v>0</v>
      </c>
      <c r="BR28" s="93">
        <f t="shared" si="30"/>
        <v>1</v>
      </c>
      <c r="BS28" s="94">
        <v>1</v>
      </c>
      <c r="BT28" s="94">
        <v>0</v>
      </c>
      <c r="BU28" s="113">
        <v>0</v>
      </c>
      <c r="BV28" s="213">
        <f t="shared" si="9"/>
        <v>100</v>
      </c>
      <c r="BW28" s="214">
        <f t="shared" si="39"/>
        <v>100</v>
      </c>
      <c r="BX28" s="215">
        <f t="shared" si="40"/>
        <v>100</v>
      </c>
      <c r="BY28" s="215">
        <v>0</v>
      </c>
      <c r="BZ28" s="215">
        <v>0</v>
      </c>
      <c r="CA28" s="214">
        <f t="shared" si="46"/>
        <v>100</v>
      </c>
      <c r="CB28" s="215">
        <f t="shared" si="46"/>
        <v>100</v>
      </c>
      <c r="CC28" s="215">
        <v>0</v>
      </c>
      <c r="CD28" s="216">
        <v>0</v>
      </c>
    </row>
    <row r="29" spans="1:82" ht="42" customHeight="1">
      <c r="A29" s="64" t="s">
        <v>31</v>
      </c>
      <c r="B29" s="101">
        <f t="shared" si="20"/>
        <v>16</v>
      </c>
      <c r="C29" s="123">
        <f t="shared" si="21"/>
        <v>2</v>
      </c>
      <c r="D29" s="125">
        <v>2</v>
      </c>
      <c r="E29" s="126">
        <v>0</v>
      </c>
      <c r="F29" s="16">
        <v>0</v>
      </c>
      <c r="G29" s="102">
        <f t="shared" si="22"/>
        <v>14</v>
      </c>
      <c r="H29" s="300">
        <v>14</v>
      </c>
      <c r="I29" s="300">
        <v>0</v>
      </c>
      <c r="J29" s="301"/>
      <c r="K29" s="92">
        <f t="shared" si="23"/>
        <v>16</v>
      </c>
      <c r="L29" s="93">
        <f t="shared" si="31"/>
        <v>1</v>
      </c>
      <c r="M29" s="126">
        <v>1</v>
      </c>
      <c r="N29" s="126">
        <v>0</v>
      </c>
      <c r="O29" s="126">
        <v>0</v>
      </c>
      <c r="P29" s="93">
        <f t="shared" si="24"/>
        <v>15</v>
      </c>
      <c r="Q29" s="94">
        <v>15</v>
      </c>
      <c r="R29" s="94">
        <v>0</v>
      </c>
      <c r="S29" s="103">
        <v>0</v>
      </c>
      <c r="T29" s="100">
        <f t="shared" si="11"/>
        <v>100</v>
      </c>
      <c r="U29" s="104">
        <v>0</v>
      </c>
      <c r="V29" s="104">
        <f t="shared" si="37"/>
        <v>50</v>
      </c>
      <c r="W29" s="104">
        <v>0</v>
      </c>
      <c r="X29" s="104">
        <v>0</v>
      </c>
      <c r="Y29" s="104">
        <f t="shared" si="13"/>
        <v>107.14285714285714</v>
      </c>
      <c r="Z29" s="105"/>
      <c r="AA29" s="105"/>
      <c r="AB29" s="106"/>
      <c r="AC29" s="92">
        <f t="shared" si="25"/>
        <v>16</v>
      </c>
      <c r="AD29" s="93">
        <f t="shared" si="33"/>
        <v>2</v>
      </c>
      <c r="AE29" s="126">
        <v>2</v>
      </c>
      <c r="AF29" s="126">
        <v>0</v>
      </c>
      <c r="AG29" s="126">
        <v>0</v>
      </c>
      <c r="AH29" s="93">
        <f t="shared" si="26"/>
        <v>14</v>
      </c>
      <c r="AI29" s="94">
        <v>14</v>
      </c>
      <c r="AJ29" s="94">
        <v>0</v>
      </c>
      <c r="AK29" s="96">
        <v>0</v>
      </c>
      <c r="AL29" s="107">
        <f t="shared" si="14"/>
        <v>100</v>
      </c>
      <c r="AM29" s="104">
        <f t="shared" si="3"/>
        <v>200</v>
      </c>
      <c r="AN29" s="104">
        <f t="shared" si="4"/>
        <v>200</v>
      </c>
      <c r="AO29" s="104"/>
      <c r="AP29" s="104"/>
      <c r="AQ29" s="104">
        <f t="shared" si="6"/>
        <v>93.33333333333333</v>
      </c>
      <c r="AR29" s="104">
        <f t="shared" si="43"/>
        <v>93.33333333333333</v>
      </c>
      <c r="AS29" s="104" t="e">
        <f t="shared" si="44"/>
        <v>#DIV/0!</v>
      </c>
      <c r="AT29" s="108" t="e">
        <f t="shared" si="45"/>
        <v>#DIV/0!</v>
      </c>
      <c r="AU29" s="92">
        <f t="shared" si="27"/>
        <v>15</v>
      </c>
      <c r="AV29" s="93">
        <f t="shared" si="34"/>
        <v>1</v>
      </c>
      <c r="AW29" s="94">
        <v>1</v>
      </c>
      <c r="AX29" s="94">
        <v>0</v>
      </c>
      <c r="AY29" s="94">
        <v>0</v>
      </c>
      <c r="AZ29" s="93">
        <f t="shared" si="28"/>
        <v>14</v>
      </c>
      <c r="BA29" s="94">
        <v>14</v>
      </c>
      <c r="BB29" s="94">
        <v>0</v>
      </c>
      <c r="BC29" s="96">
        <v>0</v>
      </c>
      <c r="BD29" s="213">
        <f t="shared" si="15"/>
        <v>93.75</v>
      </c>
      <c r="BE29" s="214">
        <f t="shared" si="16"/>
        <v>50</v>
      </c>
      <c r="BF29" s="215">
        <f t="shared" si="17"/>
        <v>50</v>
      </c>
      <c r="BG29" s="215">
        <v>0</v>
      </c>
      <c r="BH29" s="215">
        <v>0</v>
      </c>
      <c r="BI29" s="214">
        <f t="shared" si="18"/>
        <v>100</v>
      </c>
      <c r="BJ29" s="215">
        <f t="shared" si="19"/>
        <v>100</v>
      </c>
      <c r="BK29" s="215">
        <v>0</v>
      </c>
      <c r="BL29" s="216">
        <v>0</v>
      </c>
      <c r="BM29" s="92">
        <f t="shared" si="29"/>
        <v>17</v>
      </c>
      <c r="BN29" s="93">
        <f t="shared" si="36"/>
        <v>1</v>
      </c>
      <c r="BO29" s="94">
        <v>1</v>
      </c>
      <c r="BP29" s="94">
        <v>0</v>
      </c>
      <c r="BQ29" s="94">
        <v>0</v>
      </c>
      <c r="BR29" s="93">
        <f t="shared" si="30"/>
        <v>16</v>
      </c>
      <c r="BS29" s="94">
        <v>16</v>
      </c>
      <c r="BT29" s="94">
        <v>0</v>
      </c>
      <c r="BU29" s="113">
        <v>0</v>
      </c>
      <c r="BV29" s="213">
        <f t="shared" si="9"/>
        <v>113.33333333333333</v>
      </c>
      <c r="BW29" s="214"/>
      <c r="BX29" s="215"/>
      <c r="BY29" s="215">
        <v>0</v>
      </c>
      <c r="BZ29" s="215">
        <v>0</v>
      </c>
      <c r="CA29" s="214">
        <f t="shared" si="46"/>
        <v>114.28571428571428</v>
      </c>
      <c r="CB29" s="215">
        <f t="shared" si="46"/>
        <v>114.28571428571428</v>
      </c>
      <c r="CC29" s="215">
        <v>0</v>
      </c>
      <c r="CD29" s="216">
        <v>0</v>
      </c>
    </row>
    <row r="30" spans="1:82" ht="22.5" customHeight="1">
      <c r="A30" s="65" t="s">
        <v>32</v>
      </c>
      <c r="B30" s="101">
        <f t="shared" si="20"/>
        <v>67</v>
      </c>
      <c r="C30" s="123">
        <f t="shared" si="21"/>
        <v>7</v>
      </c>
      <c r="D30" s="125">
        <v>7</v>
      </c>
      <c r="E30" s="126">
        <v>0</v>
      </c>
      <c r="F30" s="16">
        <v>0</v>
      </c>
      <c r="G30" s="102">
        <f t="shared" si="22"/>
        <v>60</v>
      </c>
      <c r="H30" s="300">
        <v>60</v>
      </c>
      <c r="I30" s="300">
        <v>0</v>
      </c>
      <c r="J30" s="301"/>
      <c r="K30" s="92">
        <f t="shared" si="23"/>
        <v>65</v>
      </c>
      <c r="L30" s="93">
        <f t="shared" si="31"/>
        <v>6</v>
      </c>
      <c r="M30" s="126">
        <v>6</v>
      </c>
      <c r="N30" s="126">
        <v>0</v>
      </c>
      <c r="O30" s="126">
        <v>0</v>
      </c>
      <c r="P30" s="93">
        <f t="shared" si="24"/>
        <v>59</v>
      </c>
      <c r="Q30" s="94">
        <v>59</v>
      </c>
      <c r="R30" s="94">
        <v>0</v>
      </c>
      <c r="S30" s="103">
        <v>0</v>
      </c>
      <c r="T30" s="100">
        <f t="shared" si="11"/>
        <v>97.01492537313433</v>
      </c>
      <c r="U30" s="104">
        <f t="shared" si="12"/>
        <v>85.71428571428571</v>
      </c>
      <c r="V30" s="104">
        <f t="shared" si="37"/>
        <v>85.71428571428571</v>
      </c>
      <c r="W30" s="104">
        <v>0</v>
      </c>
      <c r="X30" s="104">
        <v>0</v>
      </c>
      <c r="Y30" s="104">
        <f t="shared" si="13"/>
        <v>98.33333333333333</v>
      </c>
      <c r="Z30" s="105"/>
      <c r="AA30" s="105"/>
      <c r="AB30" s="106"/>
      <c r="AC30" s="92">
        <f t="shared" si="25"/>
        <v>62</v>
      </c>
      <c r="AD30" s="93">
        <f t="shared" si="33"/>
        <v>7</v>
      </c>
      <c r="AE30" s="126">
        <v>7</v>
      </c>
      <c r="AF30" s="126">
        <v>0</v>
      </c>
      <c r="AG30" s="126">
        <v>0</v>
      </c>
      <c r="AH30" s="93">
        <f t="shared" si="26"/>
        <v>55</v>
      </c>
      <c r="AI30" s="94">
        <v>55</v>
      </c>
      <c r="AJ30" s="94">
        <v>0</v>
      </c>
      <c r="AK30" s="96">
        <v>0</v>
      </c>
      <c r="AL30" s="107">
        <f t="shared" si="14"/>
        <v>95.38461538461539</v>
      </c>
      <c r="AM30" s="104">
        <f t="shared" si="3"/>
        <v>116.66666666666667</v>
      </c>
      <c r="AN30" s="104">
        <f t="shared" si="4"/>
        <v>116.66666666666667</v>
      </c>
      <c r="AO30" s="104"/>
      <c r="AP30" s="104"/>
      <c r="AQ30" s="104">
        <f t="shared" si="6"/>
        <v>93.22033898305084</v>
      </c>
      <c r="AR30" s="104">
        <f t="shared" si="43"/>
        <v>93.22033898305084</v>
      </c>
      <c r="AS30" s="104" t="e">
        <f t="shared" si="44"/>
        <v>#DIV/0!</v>
      </c>
      <c r="AT30" s="108" t="e">
        <f t="shared" si="45"/>
        <v>#DIV/0!</v>
      </c>
      <c r="AU30" s="92">
        <f t="shared" si="27"/>
        <v>62</v>
      </c>
      <c r="AV30" s="93">
        <f t="shared" si="34"/>
        <v>7</v>
      </c>
      <c r="AW30" s="94">
        <v>7</v>
      </c>
      <c r="AX30" s="94">
        <v>0</v>
      </c>
      <c r="AY30" s="94">
        <v>0</v>
      </c>
      <c r="AZ30" s="93">
        <f t="shared" si="28"/>
        <v>55</v>
      </c>
      <c r="BA30" s="94">
        <v>55</v>
      </c>
      <c r="BB30" s="94">
        <v>0</v>
      </c>
      <c r="BC30" s="96">
        <v>0</v>
      </c>
      <c r="BD30" s="213">
        <f t="shared" si="15"/>
        <v>100</v>
      </c>
      <c r="BE30" s="214">
        <f t="shared" si="16"/>
        <v>100</v>
      </c>
      <c r="BF30" s="215">
        <f t="shared" si="17"/>
        <v>100</v>
      </c>
      <c r="BG30" s="215">
        <v>0</v>
      </c>
      <c r="BH30" s="215">
        <v>0</v>
      </c>
      <c r="BI30" s="214">
        <f t="shared" si="18"/>
        <v>100</v>
      </c>
      <c r="BJ30" s="215">
        <f t="shared" si="19"/>
        <v>100</v>
      </c>
      <c r="BK30" s="215">
        <v>0</v>
      </c>
      <c r="BL30" s="216">
        <v>0</v>
      </c>
      <c r="BM30" s="92">
        <f t="shared" si="29"/>
        <v>47</v>
      </c>
      <c r="BN30" s="93">
        <f t="shared" si="36"/>
        <v>7</v>
      </c>
      <c r="BO30" s="94">
        <v>7</v>
      </c>
      <c r="BP30" s="94">
        <v>0</v>
      </c>
      <c r="BQ30" s="94">
        <v>0</v>
      </c>
      <c r="BR30" s="93">
        <f t="shared" si="30"/>
        <v>40</v>
      </c>
      <c r="BS30" s="94">
        <v>40</v>
      </c>
      <c r="BT30" s="94">
        <v>0</v>
      </c>
      <c r="BU30" s="113">
        <v>0</v>
      </c>
      <c r="BV30" s="213">
        <f t="shared" si="9"/>
        <v>75.80645161290323</v>
      </c>
      <c r="BW30" s="214">
        <f t="shared" si="39"/>
        <v>100</v>
      </c>
      <c r="BX30" s="215">
        <f t="shared" si="40"/>
        <v>100</v>
      </c>
      <c r="BY30" s="215">
        <v>0</v>
      </c>
      <c r="BZ30" s="215">
        <v>0</v>
      </c>
      <c r="CA30" s="214">
        <f t="shared" si="46"/>
        <v>72.72727272727273</v>
      </c>
      <c r="CB30" s="215">
        <f t="shared" si="46"/>
        <v>72.72727272727273</v>
      </c>
      <c r="CC30" s="215">
        <v>0</v>
      </c>
      <c r="CD30" s="216">
        <v>0</v>
      </c>
    </row>
    <row r="31" spans="1:82" ht="20.25" customHeight="1" thickBot="1">
      <c r="A31" s="56" t="s">
        <v>33</v>
      </c>
      <c r="B31" s="130">
        <f t="shared" si="20"/>
        <v>1</v>
      </c>
      <c r="C31" s="131">
        <f t="shared" si="21"/>
        <v>1</v>
      </c>
      <c r="D31" s="127">
        <v>1</v>
      </c>
      <c r="E31" s="128">
        <v>0</v>
      </c>
      <c r="F31" s="32">
        <v>0</v>
      </c>
      <c r="G31" s="102">
        <f t="shared" si="22"/>
        <v>0</v>
      </c>
      <c r="H31" s="302">
        <v>0</v>
      </c>
      <c r="I31" s="302">
        <v>0</v>
      </c>
      <c r="J31" s="303"/>
      <c r="K31" s="132">
        <f t="shared" si="23"/>
        <v>1</v>
      </c>
      <c r="L31" s="133">
        <f t="shared" si="31"/>
        <v>1</v>
      </c>
      <c r="M31" s="128">
        <v>1</v>
      </c>
      <c r="N31" s="128">
        <v>0</v>
      </c>
      <c r="O31" s="128">
        <v>0</v>
      </c>
      <c r="P31" s="133">
        <f t="shared" si="24"/>
        <v>0</v>
      </c>
      <c r="Q31" s="134">
        <v>0</v>
      </c>
      <c r="R31" s="134">
        <v>0</v>
      </c>
      <c r="S31" s="135">
        <v>0</v>
      </c>
      <c r="T31" s="136">
        <f t="shared" si="11"/>
        <v>100</v>
      </c>
      <c r="U31" s="137">
        <f t="shared" si="12"/>
        <v>100</v>
      </c>
      <c r="V31" s="137">
        <f t="shared" si="37"/>
        <v>100</v>
      </c>
      <c r="W31" s="137">
        <v>0</v>
      </c>
      <c r="X31" s="137">
        <v>0</v>
      </c>
      <c r="Y31" s="137"/>
      <c r="Z31" s="138"/>
      <c r="AA31" s="138"/>
      <c r="AB31" s="139"/>
      <c r="AC31" s="132">
        <f t="shared" si="25"/>
        <v>1</v>
      </c>
      <c r="AD31" s="133">
        <f t="shared" si="33"/>
        <v>1</v>
      </c>
      <c r="AE31" s="128">
        <v>1</v>
      </c>
      <c r="AF31" s="128">
        <v>0</v>
      </c>
      <c r="AG31" s="128">
        <v>0</v>
      </c>
      <c r="AH31" s="133">
        <f t="shared" si="26"/>
        <v>0</v>
      </c>
      <c r="AI31" s="134">
        <v>0</v>
      </c>
      <c r="AJ31" s="134">
        <v>0</v>
      </c>
      <c r="AK31" s="140">
        <v>0</v>
      </c>
      <c r="AL31" s="141">
        <f t="shared" si="14"/>
        <v>100</v>
      </c>
      <c r="AM31" s="137">
        <f t="shared" si="3"/>
        <v>100</v>
      </c>
      <c r="AN31" s="137">
        <f t="shared" si="4"/>
        <v>100</v>
      </c>
      <c r="AO31" s="137"/>
      <c r="AP31" s="137"/>
      <c r="AQ31" s="137"/>
      <c r="AR31" s="137" t="e">
        <f t="shared" si="43"/>
        <v>#DIV/0!</v>
      </c>
      <c r="AS31" s="137" t="e">
        <f t="shared" si="44"/>
        <v>#DIV/0!</v>
      </c>
      <c r="AT31" s="109" t="e">
        <f t="shared" si="45"/>
        <v>#DIV/0!</v>
      </c>
      <c r="AU31" s="132">
        <f t="shared" si="27"/>
        <v>1</v>
      </c>
      <c r="AV31" s="133">
        <f t="shared" si="34"/>
        <v>1</v>
      </c>
      <c r="AW31" s="134">
        <v>1</v>
      </c>
      <c r="AX31" s="134">
        <v>0</v>
      </c>
      <c r="AY31" s="134">
        <v>0</v>
      </c>
      <c r="AZ31" s="133">
        <f t="shared" si="28"/>
        <v>0</v>
      </c>
      <c r="BA31" s="134">
        <v>0</v>
      </c>
      <c r="BB31" s="134">
        <v>0</v>
      </c>
      <c r="BC31" s="140">
        <v>0</v>
      </c>
      <c r="BD31" s="217">
        <f t="shared" si="15"/>
        <v>100</v>
      </c>
      <c r="BE31" s="218">
        <f t="shared" si="16"/>
        <v>100</v>
      </c>
      <c r="BF31" s="219">
        <f t="shared" si="17"/>
        <v>100</v>
      </c>
      <c r="BG31" s="219">
        <v>0</v>
      </c>
      <c r="BH31" s="219">
        <v>0</v>
      </c>
      <c r="BI31" s="218">
        <v>0</v>
      </c>
      <c r="BJ31" s="219">
        <v>0</v>
      </c>
      <c r="BK31" s="219">
        <v>0</v>
      </c>
      <c r="BL31" s="220">
        <v>0</v>
      </c>
      <c r="BM31" s="132">
        <f t="shared" si="29"/>
        <v>1</v>
      </c>
      <c r="BN31" s="133">
        <f t="shared" si="36"/>
        <v>1</v>
      </c>
      <c r="BO31" s="134">
        <v>1</v>
      </c>
      <c r="BP31" s="134">
        <v>0</v>
      </c>
      <c r="BQ31" s="134">
        <v>0</v>
      </c>
      <c r="BR31" s="133">
        <f t="shared" si="30"/>
        <v>0</v>
      </c>
      <c r="BS31" s="134">
        <v>0</v>
      </c>
      <c r="BT31" s="134">
        <v>0</v>
      </c>
      <c r="BU31" s="145">
        <v>0</v>
      </c>
      <c r="BV31" s="217">
        <f t="shared" si="9"/>
        <v>100</v>
      </c>
      <c r="BW31" s="218">
        <f t="shared" si="39"/>
        <v>100</v>
      </c>
      <c r="BX31" s="219">
        <f t="shared" si="40"/>
        <v>100</v>
      </c>
      <c r="BY31" s="219">
        <v>0</v>
      </c>
      <c r="BZ31" s="219">
        <v>0</v>
      </c>
      <c r="CA31" s="218">
        <v>0</v>
      </c>
      <c r="CB31" s="219">
        <v>0</v>
      </c>
      <c r="CC31" s="219">
        <v>0</v>
      </c>
      <c r="CD31" s="220">
        <v>0</v>
      </c>
    </row>
    <row r="32" spans="1:46" ht="13.5" customHeight="1">
      <c r="A32" s="51" t="s">
        <v>34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52"/>
      <c r="U32" s="52"/>
      <c r="V32" s="52"/>
      <c r="W32" s="52"/>
      <c r="X32" s="52"/>
      <c r="Y32" s="59"/>
      <c r="Z32" s="59"/>
      <c r="AA32" s="59"/>
      <c r="AB32" s="59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</row>
    <row r="33" spans="1:46" ht="13.5">
      <c r="A33" s="52"/>
      <c r="B33" s="75"/>
      <c r="C33" s="75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9"/>
      <c r="Z33" s="59"/>
      <c r="AA33" s="59"/>
      <c r="AB33" s="59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</row>
    <row r="34" spans="2:28" ht="13.5">
      <c r="B34" s="2"/>
      <c r="C34" s="2"/>
      <c r="Y34" s="3"/>
      <c r="Z34" s="3"/>
      <c r="AA34" s="3"/>
      <c r="AB34" s="3"/>
    </row>
    <row r="35" spans="2:28" ht="13.5">
      <c r="B35" s="2"/>
      <c r="C35" s="2"/>
      <c r="Y35" s="3"/>
      <c r="Z35" s="3"/>
      <c r="AA35" s="3"/>
      <c r="AB35" s="3"/>
    </row>
    <row r="36" spans="25:28" ht="13.5">
      <c r="Y36" s="3"/>
      <c r="Z36" s="3"/>
      <c r="AA36" s="3"/>
      <c r="AB36" s="3"/>
    </row>
    <row r="37" spans="25:28" ht="13.5">
      <c r="Y37" s="3"/>
      <c r="Z37" s="3"/>
      <c r="AA37" s="3"/>
      <c r="AB37" s="3"/>
    </row>
    <row r="38" spans="25:28" ht="13.5">
      <c r="Y38" s="3"/>
      <c r="Z38" s="3"/>
      <c r="AA38" s="3"/>
      <c r="AB38" s="3"/>
    </row>
  </sheetData>
  <sheetProtection/>
  <mergeCells count="58">
    <mergeCell ref="BV4:CD4"/>
    <mergeCell ref="BV5:BV6"/>
    <mergeCell ref="BW5:BW6"/>
    <mergeCell ref="BX5:BZ5"/>
    <mergeCell ref="CA5:CA6"/>
    <mergeCell ref="CB5:CD5"/>
    <mergeCell ref="BM4:BU4"/>
    <mergeCell ref="BM5:BM6"/>
    <mergeCell ref="BN5:BN6"/>
    <mergeCell ref="BO5:BQ5"/>
    <mergeCell ref="BR5:BR6"/>
    <mergeCell ref="BS5:BU5"/>
    <mergeCell ref="H5:J5"/>
    <mergeCell ref="G5:G6"/>
    <mergeCell ref="L5:L6"/>
    <mergeCell ref="P5:P6"/>
    <mergeCell ref="AQ5:AQ6"/>
    <mergeCell ref="AR5:AT5"/>
    <mergeCell ref="B3:AT3"/>
    <mergeCell ref="AC5:AC6"/>
    <mergeCell ref="AL5:AL6"/>
    <mergeCell ref="AD5:AD6"/>
    <mergeCell ref="AE5:AG5"/>
    <mergeCell ref="AH5:AH6"/>
    <mergeCell ref="AI5:AK5"/>
    <mergeCell ref="AC4:AK4"/>
    <mergeCell ref="AL4:AT4"/>
    <mergeCell ref="D5:F5"/>
    <mergeCell ref="BE5:BE6"/>
    <mergeCell ref="BF5:BH5"/>
    <mergeCell ref="BI5:BI6"/>
    <mergeCell ref="BJ5:BL5"/>
    <mergeCell ref="B5:B6"/>
    <mergeCell ref="U5:U6"/>
    <mergeCell ref="V5:X5"/>
    <mergeCell ref="T5:T6"/>
    <mergeCell ref="AM5:AM6"/>
    <mergeCell ref="AN5:AP5"/>
    <mergeCell ref="A4:A6"/>
    <mergeCell ref="Z5:AB5"/>
    <mergeCell ref="T4:AB4"/>
    <mergeCell ref="K5:K6"/>
    <mergeCell ref="B4:J4"/>
    <mergeCell ref="K4:S4"/>
    <mergeCell ref="Y5:Y6"/>
    <mergeCell ref="C5:C6"/>
    <mergeCell ref="M5:O5"/>
    <mergeCell ref="Q5:S5"/>
    <mergeCell ref="A1:CC1"/>
    <mergeCell ref="A2:CC2"/>
    <mergeCell ref="AU4:BC4"/>
    <mergeCell ref="BD4:BL4"/>
    <mergeCell ref="AU5:AU6"/>
    <mergeCell ref="AV5:AV6"/>
    <mergeCell ref="AW5:AY5"/>
    <mergeCell ref="AZ5:AZ6"/>
    <mergeCell ref="BA5:BC5"/>
    <mergeCell ref="BD5:BD6"/>
  </mergeCells>
  <printOptions/>
  <pageMargins left="0.2755905511811024" right="0.1968503937007874" top="0.31496062992125984" bottom="0.2755905511811024" header="0.31496062992125984" footer="0.3149606299212598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50"/>
  <sheetViews>
    <sheetView zoomScale="80" zoomScaleNormal="80" zoomScalePageLayoutView="0" workbookViewId="0" topLeftCell="A4">
      <pane ySplit="972" topLeftCell="A22" activePane="bottomLeft" state="split"/>
      <selection pane="topLeft" activeCell="P7" sqref="P1:AB16384"/>
      <selection pane="bottomLeft" activeCell="BV4" sqref="BV4:BV6"/>
    </sheetView>
  </sheetViews>
  <sheetFormatPr defaultColWidth="7.28125" defaultRowHeight="15"/>
  <cols>
    <col min="1" max="1" width="21.00390625" style="9" customWidth="1"/>
    <col min="2" max="2" width="4.28125" style="9" customWidth="1"/>
    <col min="3" max="3" width="4.140625" style="9" customWidth="1"/>
    <col min="4" max="4" width="5.140625" style="9" customWidth="1"/>
    <col min="5" max="5" width="4.7109375" style="9" customWidth="1"/>
    <col min="6" max="6" width="5.140625" style="9" customWidth="1"/>
    <col min="7" max="7" width="4.140625" style="9" customWidth="1"/>
    <col min="8" max="9" width="2.7109375" style="9" hidden="1" customWidth="1"/>
    <col min="10" max="10" width="5.7109375" style="9" hidden="1" customWidth="1"/>
    <col min="11" max="11" width="4.7109375" style="9" customWidth="1"/>
    <col min="12" max="12" width="4.421875" style="9" customWidth="1"/>
    <col min="13" max="14" width="4.7109375" style="9" customWidth="1"/>
    <col min="15" max="15" width="4.8515625" style="9" customWidth="1"/>
    <col min="16" max="16" width="4.7109375" style="9" customWidth="1"/>
    <col min="17" max="17" width="0.13671875" style="9" hidden="1" customWidth="1"/>
    <col min="18" max="18" width="4.7109375" style="9" hidden="1" customWidth="1"/>
    <col min="19" max="19" width="2.7109375" style="9" hidden="1" customWidth="1"/>
    <col min="20" max="20" width="4.421875" style="9" hidden="1" customWidth="1"/>
    <col min="21" max="21" width="3.7109375" style="9" hidden="1" customWidth="1"/>
    <col min="22" max="24" width="5.28125" style="9" hidden="1" customWidth="1"/>
    <col min="25" max="25" width="4.57421875" style="9" hidden="1" customWidth="1"/>
    <col min="26" max="26" width="4.7109375" style="9" hidden="1" customWidth="1"/>
    <col min="27" max="27" width="7.28125" style="9" hidden="1" customWidth="1"/>
    <col min="28" max="28" width="8.28125" style="9" hidden="1" customWidth="1"/>
    <col min="29" max="29" width="4.00390625" style="9" customWidth="1"/>
    <col min="30" max="30" width="4.28125" style="9" customWidth="1"/>
    <col min="31" max="31" width="4.140625" style="9" customWidth="1"/>
    <col min="32" max="32" width="4.00390625" style="9" customWidth="1"/>
    <col min="33" max="33" width="5.7109375" style="9" customWidth="1"/>
    <col min="34" max="34" width="4.421875" style="9" customWidth="1"/>
    <col min="35" max="35" width="0.2890625" style="9" hidden="1" customWidth="1"/>
    <col min="36" max="36" width="3.8515625" style="9" hidden="1" customWidth="1"/>
    <col min="37" max="37" width="5.140625" style="9" hidden="1" customWidth="1"/>
    <col min="38" max="38" width="4.57421875" style="9" hidden="1" customWidth="1"/>
    <col min="39" max="39" width="3.7109375" style="9" hidden="1" customWidth="1"/>
    <col min="40" max="40" width="4.140625" style="9" hidden="1" customWidth="1"/>
    <col min="41" max="41" width="3.7109375" style="9" hidden="1" customWidth="1"/>
    <col min="42" max="42" width="4.140625" style="9" hidden="1" customWidth="1"/>
    <col min="43" max="43" width="4.00390625" style="9" hidden="1" customWidth="1"/>
    <col min="44" max="44" width="7.28125" style="9" hidden="1" customWidth="1"/>
    <col min="45" max="45" width="3.140625" style="9" hidden="1" customWidth="1"/>
    <col min="46" max="46" width="6.8515625" style="9" hidden="1" customWidth="1"/>
    <col min="47" max="47" width="4.57421875" style="9" customWidth="1"/>
    <col min="48" max="48" width="4.28125" style="9" customWidth="1"/>
    <col min="49" max="50" width="4.7109375" style="9" customWidth="1"/>
    <col min="51" max="51" width="5.57421875" style="9" customWidth="1"/>
    <col min="52" max="52" width="4.28125" style="9" customWidth="1"/>
    <col min="53" max="53" width="4.8515625" style="9" hidden="1" customWidth="1"/>
    <col min="54" max="54" width="5.57421875" style="9" hidden="1" customWidth="1"/>
    <col min="55" max="55" width="5.7109375" style="9" hidden="1" customWidth="1"/>
    <col min="56" max="56" width="5.8515625" style="9" hidden="1" customWidth="1"/>
    <col min="57" max="57" width="5.7109375" style="9" hidden="1" customWidth="1"/>
    <col min="58" max="58" width="4.57421875" style="9" hidden="1" customWidth="1"/>
    <col min="59" max="59" width="3.28125" style="9" hidden="1" customWidth="1"/>
    <col min="60" max="60" width="6.140625" style="9" hidden="1" customWidth="1"/>
    <col min="61" max="61" width="3.7109375" style="9" hidden="1" customWidth="1"/>
    <col min="62" max="62" width="7.00390625" style="9" hidden="1" customWidth="1"/>
    <col min="63" max="63" width="6.8515625" style="9" hidden="1" customWidth="1"/>
    <col min="64" max="64" width="5.28125" style="9" hidden="1" customWidth="1"/>
    <col min="65" max="65" width="4.7109375" style="9" customWidth="1"/>
    <col min="66" max="66" width="4.28125" style="9" customWidth="1"/>
    <col min="67" max="67" width="4.7109375" style="9" customWidth="1"/>
    <col min="68" max="68" width="4.00390625" style="9" customWidth="1"/>
    <col min="69" max="69" width="4.57421875" style="9" customWidth="1"/>
    <col min="70" max="70" width="4.140625" style="9" customWidth="1"/>
    <col min="71" max="71" width="3.421875" style="9" hidden="1" customWidth="1"/>
    <col min="72" max="72" width="5.421875" style="9" hidden="1" customWidth="1"/>
    <col min="73" max="73" width="11.140625" style="9" hidden="1" customWidth="1"/>
    <col min="74" max="75" width="4.00390625" style="9" customWidth="1"/>
    <col min="76" max="78" width="3.57421875" style="9" customWidth="1"/>
    <col min="79" max="79" width="3.28125" style="9" customWidth="1"/>
    <col min="80" max="82" width="7.28125" style="9" hidden="1" customWidth="1"/>
    <col min="83" max="16384" width="7.28125" style="9" customWidth="1"/>
  </cols>
  <sheetData>
    <row r="1" spans="1:79" ht="9.75">
      <c r="A1" s="324" t="s">
        <v>37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  <c r="AW1" s="324"/>
      <c r="AX1" s="324"/>
      <c r="AY1" s="324"/>
      <c r="AZ1" s="324"/>
      <c r="BA1" s="324"/>
      <c r="BB1" s="324"/>
      <c r="BC1" s="324"/>
      <c r="BD1" s="324"/>
      <c r="BE1" s="324"/>
      <c r="BF1" s="324"/>
      <c r="BG1" s="324"/>
      <c r="BH1" s="324"/>
      <c r="BI1" s="324"/>
      <c r="BJ1" s="324"/>
      <c r="BK1" s="324"/>
      <c r="BL1" s="324"/>
      <c r="BM1" s="324"/>
      <c r="BN1" s="324"/>
      <c r="BO1" s="324"/>
      <c r="BP1" s="324"/>
      <c r="BQ1" s="324"/>
      <c r="BR1" s="324"/>
      <c r="BS1" s="324"/>
      <c r="BT1" s="324"/>
      <c r="BU1" s="324"/>
      <c r="BV1" s="324"/>
      <c r="BW1" s="324"/>
      <c r="BX1" s="324"/>
      <c r="BY1" s="324"/>
      <c r="BZ1" s="324"/>
      <c r="CA1" s="324"/>
    </row>
    <row r="2" spans="1:79" ht="9.75" customHeight="1" thickBot="1">
      <c r="A2" s="340" t="s">
        <v>48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</row>
    <row r="3" spans="1:82" ht="9.75">
      <c r="A3" s="336"/>
      <c r="B3" s="331">
        <v>2018</v>
      </c>
      <c r="C3" s="332"/>
      <c r="D3" s="332"/>
      <c r="E3" s="332"/>
      <c r="F3" s="332"/>
      <c r="G3" s="332"/>
      <c r="H3" s="332"/>
      <c r="I3" s="332"/>
      <c r="J3" s="333"/>
      <c r="K3" s="331">
        <v>2019</v>
      </c>
      <c r="L3" s="332"/>
      <c r="M3" s="332"/>
      <c r="N3" s="332"/>
      <c r="O3" s="332"/>
      <c r="P3" s="332"/>
      <c r="Q3" s="332"/>
      <c r="R3" s="332"/>
      <c r="S3" s="333"/>
      <c r="T3" s="331" t="s">
        <v>11</v>
      </c>
      <c r="U3" s="332"/>
      <c r="V3" s="332"/>
      <c r="W3" s="332"/>
      <c r="X3" s="332"/>
      <c r="Y3" s="332"/>
      <c r="Z3" s="332"/>
      <c r="AA3" s="332"/>
      <c r="AB3" s="333"/>
      <c r="AC3" s="331">
        <v>2020</v>
      </c>
      <c r="AD3" s="332"/>
      <c r="AE3" s="332"/>
      <c r="AF3" s="332"/>
      <c r="AG3" s="332"/>
      <c r="AH3" s="332"/>
      <c r="AI3" s="332"/>
      <c r="AJ3" s="332"/>
      <c r="AK3" s="333"/>
      <c r="AL3" s="331" t="s">
        <v>43</v>
      </c>
      <c r="AM3" s="332"/>
      <c r="AN3" s="332"/>
      <c r="AO3" s="332"/>
      <c r="AP3" s="332"/>
      <c r="AQ3" s="332"/>
      <c r="AR3" s="332"/>
      <c r="AS3" s="332"/>
      <c r="AT3" s="333"/>
      <c r="AU3" s="331">
        <v>2021</v>
      </c>
      <c r="AV3" s="332"/>
      <c r="AW3" s="332"/>
      <c r="AX3" s="332"/>
      <c r="AY3" s="332"/>
      <c r="AZ3" s="332"/>
      <c r="BA3" s="332"/>
      <c r="BB3" s="332"/>
      <c r="BC3" s="333"/>
      <c r="BD3" s="331" t="s">
        <v>50</v>
      </c>
      <c r="BE3" s="332"/>
      <c r="BF3" s="332"/>
      <c r="BG3" s="332"/>
      <c r="BH3" s="332"/>
      <c r="BI3" s="332"/>
      <c r="BJ3" s="332"/>
      <c r="BK3" s="332"/>
      <c r="BL3" s="333"/>
      <c r="BM3" s="331">
        <v>2022</v>
      </c>
      <c r="BN3" s="332"/>
      <c r="BO3" s="332"/>
      <c r="BP3" s="332"/>
      <c r="BQ3" s="332"/>
      <c r="BR3" s="332"/>
      <c r="BS3" s="332"/>
      <c r="BT3" s="332"/>
      <c r="BU3" s="333"/>
      <c r="BV3" s="325" t="s">
        <v>52</v>
      </c>
      <c r="BW3" s="326"/>
      <c r="BX3" s="326"/>
      <c r="BY3" s="326"/>
      <c r="BZ3" s="326"/>
      <c r="CA3" s="326"/>
      <c r="CB3" s="326"/>
      <c r="CC3" s="326"/>
      <c r="CD3" s="327"/>
    </row>
    <row r="4" spans="1:82" ht="9.75">
      <c r="A4" s="336"/>
      <c r="B4" s="338" t="s">
        <v>0</v>
      </c>
      <c r="C4" s="334" t="s">
        <v>9</v>
      </c>
      <c r="D4" s="334"/>
      <c r="E4" s="334"/>
      <c r="F4" s="334"/>
      <c r="G4" s="334"/>
      <c r="H4" s="334"/>
      <c r="I4" s="334"/>
      <c r="J4" s="335"/>
      <c r="K4" s="339" t="s">
        <v>0</v>
      </c>
      <c r="L4" s="334" t="s">
        <v>9</v>
      </c>
      <c r="M4" s="334"/>
      <c r="N4" s="334"/>
      <c r="O4" s="334"/>
      <c r="P4" s="334"/>
      <c r="Q4" s="334"/>
      <c r="R4" s="334"/>
      <c r="S4" s="335"/>
      <c r="T4" s="339" t="s">
        <v>0</v>
      </c>
      <c r="U4" s="334" t="s">
        <v>9</v>
      </c>
      <c r="V4" s="334"/>
      <c r="W4" s="334"/>
      <c r="X4" s="334"/>
      <c r="Y4" s="334"/>
      <c r="Z4" s="334"/>
      <c r="AA4" s="334"/>
      <c r="AB4" s="335"/>
      <c r="AC4" s="339" t="s">
        <v>0</v>
      </c>
      <c r="AD4" s="334" t="s">
        <v>9</v>
      </c>
      <c r="AE4" s="334"/>
      <c r="AF4" s="334"/>
      <c r="AG4" s="334"/>
      <c r="AH4" s="334"/>
      <c r="AI4" s="334"/>
      <c r="AJ4" s="334"/>
      <c r="AK4" s="335"/>
      <c r="AL4" s="339" t="s">
        <v>0</v>
      </c>
      <c r="AM4" s="334" t="s">
        <v>9</v>
      </c>
      <c r="AN4" s="334"/>
      <c r="AO4" s="334"/>
      <c r="AP4" s="334"/>
      <c r="AQ4" s="334"/>
      <c r="AR4" s="334"/>
      <c r="AS4" s="334"/>
      <c r="AT4" s="335"/>
      <c r="AU4" s="339" t="s">
        <v>0</v>
      </c>
      <c r="AV4" s="334" t="s">
        <v>9</v>
      </c>
      <c r="AW4" s="334"/>
      <c r="AX4" s="334"/>
      <c r="AY4" s="334"/>
      <c r="AZ4" s="334"/>
      <c r="BA4" s="334"/>
      <c r="BB4" s="334"/>
      <c r="BC4" s="335"/>
      <c r="BD4" s="339" t="s">
        <v>0</v>
      </c>
      <c r="BE4" s="334" t="s">
        <v>9</v>
      </c>
      <c r="BF4" s="334"/>
      <c r="BG4" s="334"/>
      <c r="BH4" s="334"/>
      <c r="BI4" s="334"/>
      <c r="BJ4" s="334"/>
      <c r="BK4" s="334"/>
      <c r="BL4" s="335"/>
      <c r="BM4" s="339" t="s">
        <v>0</v>
      </c>
      <c r="BN4" s="334" t="s">
        <v>9</v>
      </c>
      <c r="BO4" s="334"/>
      <c r="BP4" s="334"/>
      <c r="BQ4" s="334"/>
      <c r="BR4" s="334"/>
      <c r="BS4" s="334"/>
      <c r="BT4" s="334"/>
      <c r="BU4" s="335"/>
      <c r="BV4" s="328" t="s">
        <v>0</v>
      </c>
      <c r="BW4" s="329" t="s">
        <v>9</v>
      </c>
      <c r="BX4" s="329"/>
      <c r="BY4" s="329"/>
      <c r="BZ4" s="329"/>
      <c r="CA4" s="329"/>
      <c r="CB4" s="329"/>
      <c r="CC4" s="329"/>
      <c r="CD4" s="330"/>
    </row>
    <row r="5" spans="1:82" ht="9.75" customHeight="1">
      <c r="A5" s="336"/>
      <c r="B5" s="338"/>
      <c r="C5" s="334" t="s">
        <v>7</v>
      </c>
      <c r="D5" s="334" t="s">
        <v>12</v>
      </c>
      <c r="E5" s="334"/>
      <c r="F5" s="334"/>
      <c r="G5" s="334" t="s">
        <v>8</v>
      </c>
      <c r="H5" s="334" t="s">
        <v>12</v>
      </c>
      <c r="I5" s="334"/>
      <c r="J5" s="335"/>
      <c r="K5" s="339"/>
      <c r="L5" s="334" t="s">
        <v>7</v>
      </c>
      <c r="M5" s="334" t="s">
        <v>12</v>
      </c>
      <c r="N5" s="334"/>
      <c r="O5" s="334"/>
      <c r="P5" s="334" t="s">
        <v>8</v>
      </c>
      <c r="Q5" s="334" t="s">
        <v>12</v>
      </c>
      <c r="R5" s="334"/>
      <c r="S5" s="335"/>
      <c r="T5" s="339"/>
      <c r="U5" s="334" t="s">
        <v>7</v>
      </c>
      <c r="V5" s="334" t="s">
        <v>12</v>
      </c>
      <c r="W5" s="334"/>
      <c r="X5" s="334"/>
      <c r="Y5" s="334" t="s">
        <v>8</v>
      </c>
      <c r="Z5" s="334" t="s">
        <v>12</v>
      </c>
      <c r="AA5" s="334"/>
      <c r="AB5" s="335"/>
      <c r="AC5" s="339"/>
      <c r="AD5" s="334" t="s">
        <v>7</v>
      </c>
      <c r="AE5" s="334" t="s">
        <v>12</v>
      </c>
      <c r="AF5" s="334"/>
      <c r="AG5" s="334"/>
      <c r="AH5" s="334" t="s">
        <v>8</v>
      </c>
      <c r="AI5" s="334" t="s">
        <v>12</v>
      </c>
      <c r="AJ5" s="334"/>
      <c r="AK5" s="335"/>
      <c r="AL5" s="339"/>
      <c r="AM5" s="334" t="s">
        <v>7</v>
      </c>
      <c r="AN5" s="334" t="s">
        <v>12</v>
      </c>
      <c r="AO5" s="334"/>
      <c r="AP5" s="334"/>
      <c r="AQ5" s="334" t="s">
        <v>8</v>
      </c>
      <c r="AR5" s="334" t="s">
        <v>12</v>
      </c>
      <c r="AS5" s="334"/>
      <c r="AT5" s="335"/>
      <c r="AU5" s="339"/>
      <c r="AV5" s="334" t="s">
        <v>7</v>
      </c>
      <c r="AW5" s="334" t="s">
        <v>12</v>
      </c>
      <c r="AX5" s="334"/>
      <c r="AY5" s="334"/>
      <c r="AZ5" s="334" t="s">
        <v>8</v>
      </c>
      <c r="BA5" s="334" t="s">
        <v>12</v>
      </c>
      <c r="BB5" s="334"/>
      <c r="BC5" s="335"/>
      <c r="BD5" s="339"/>
      <c r="BE5" s="334" t="s">
        <v>7</v>
      </c>
      <c r="BF5" s="334" t="s">
        <v>12</v>
      </c>
      <c r="BG5" s="334"/>
      <c r="BH5" s="334"/>
      <c r="BI5" s="334" t="s">
        <v>8</v>
      </c>
      <c r="BJ5" s="334" t="s">
        <v>12</v>
      </c>
      <c r="BK5" s="334"/>
      <c r="BL5" s="335"/>
      <c r="BM5" s="339"/>
      <c r="BN5" s="334" t="s">
        <v>7</v>
      </c>
      <c r="BO5" s="334" t="s">
        <v>12</v>
      </c>
      <c r="BP5" s="334"/>
      <c r="BQ5" s="334"/>
      <c r="BR5" s="334" t="s">
        <v>8</v>
      </c>
      <c r="BS5" s="334" t="s">
        <v>12</v>
      </c>
      <c r="BT5" s="334"/>
      <c r="BU5" s="335"/>
      <c r="BV5" s="328"/>
      <c r="BW5" s="329" t="s">
        <v>7</v>
      </c>
      <c r="BX5" s="329" t="s">
        <v>12</v>
      </c>
      <c r="BY5" s="329"/>
      <c r="BZ5" s="329"/>
      <c r="CA5" s="329" t="s">
        <v>8</v>
      </c>
      <c r="CB5" s="329" t="s">
        <v>12</v>
      </c>
      <c r="CC5" s="329"/>
      <c r="CD5" s="330"/>
    </row>
    <row r="6" spans="1:82" ht="12" customHeight="1">
      <c r="A6" s="337"/>
      <c r="B6" s="338"/>
      <c r="C6" s="334"/>
      <c r="D6" s="70" t="s">
        <v>17</v>
      </c>
      <c r="E6" s="70" t="s">
        <v>18</v>
      </c>
      <c r="F6" s="70" t="s">
        <v>19</v>
      </c>
      <c r="G6" s="334"/>
      <c r="H6" s="70" t="s">
        <v>17</v>
      </c>
      <c r="I6" s="70" t="s">
        <v>18</v>
      </c>
      <c r="J6" s="76" t="s">
        <v>19</v>
      </c>
      <c r="K6" s="339"/>
      <c r="L6" s="334"/>
      <c r="M6" s="70" t="s">
        <v>17</v>
      </c>
      <c r="N6" s="70" t="s">
        <v>18</v>
      </c>
      <c r="O6" s="70" t="s">
        <v>19</v>
      </c>
      <c r="P6" s="334"/>
      <c r="Q6" s="70" t="s">
        <v>17</v>
      </c>
      <c r="R6" s="70" t="s">
        <v>18</v>
      </c>
      <c r="S6" s="76" t="s">
        <v>19</v>
      </c>
      <c r="T6" s="339"/>
      <c r="U6" s="334"/>
      <c r="V6" s="70" t="s">
        <v>17</v>
      </c>
      <c r="W6" s="70" t="s">
        <v>18</v>
      </c>
      <c r="X6" s="70" t="s">
        <v>19</v>
      </c>
      <c r="Y6" s="334"/>
      <c r="Z6" s="70" t="s">
        <v>17</v>
      </c>
      <c r="AA6" s="70" t="s">
        <v>18</v>
      </c>
      <c r="AB6" s="76" t="s">
        <v>19</v>
      </c>
      <c r="AC6" s="339"/>
      <c r="AD6" s="334"/>
      <c r="AE6" s="70" t="s">
        <v>17</v>
      </c>
      <c r="AF6" s="70" t="s">
        <v>18</v>
      </c>
      <c r="AG6" s="70" t="s">
        <v>19</v>
      </c>
      <c r="AH6" s="334"/>
      <c r="AI6" s="70" t="s">
        <v>17</v>
      </c>
      <c r="AJ6" s="70" t="s">
        <v>18</v>
      </c>
      <c r="AK6" s="76" t="s">
        <v>19</v>
      </c>
      <c r="AL6" s="339"/>
      <c r="AM6" s="334"/>
      <c r="AN6" s="70" t="s">
        <v>17</v>
      </c>
      <c r="AO6" s="70" t="s">
        <v>18</v>
      </c>
      <c r="AP6" s="70" t="s">
        <v>19</v>
      </c>
      <c r="AQ6" s="334"/>
      <c r="AR6" s="70" t="s">
        <v>17</v>
      </c>
      <c r="AS6" s="70" t="s">
        <v>18</v>
      </c>
      <c r="AT6" s="76" t="s">
        <v>19</v>
      </c>
      <c r="AU6" s="339"/>
      <c r="AV6" s="334"/>
      <c r="AW6" s="90" t="s">
        <v>17</v>
      </c>
      <c r="AX6" s="90" t="s">
        <v>18</v>
      </c>
      <c r="AY6" s="90" t="s">
        <v>19</v>
      </c>
      <c r="AZ6" s="334"/>
      <c r="BA6" s="90" t="s">
        <v>17</v>
      </c>
      <c r="BB6" s="90" t="s">
        <v>18</v>
      </c>
      <c r="BC6" s="91" t="s">
        <v>19</v>
      </c>
      <c r="BD6" s="339"/>
      <c r="BE6" s="334"/>
      <c r="BF6" s="70" t="s">
        <v>17</v>
      </c>
      <c r="BG6" s="70" t="s">
        <v>18</v>
      </c>
      <c r="BH6" s="70" t="s">
        <v>19</v>
      </c>
      <c r="BI6" s="334"/>
      <c r="BJ6" s="70" t="s">
        <v>17</v>
      </c>
      <c r="BK6" s="70" t="s">
        <v>18</v>
      </c>
      <c r="BL6" s="76" t="s">
        <v>19</v>
      </c>
      <c r="BM6" s="339"/>
      <c r="BN6" s="334"/>
      <c r="BO6" s="98" t="s">
        <v>17</v>
      </c>
      <c r="BP6" s="98" t="s">
        <v>18</v>
      </c>
      <c r="BQ6" s="98" t="s">
        <v>19</v>
      </c>
      <c r="BR6" s="334"/>
      <c r="BS6" s="98" t="s">
        <v>17</v>
      </c>
      <c r="BT6" s="98" t="s">
        <v>18</v>
      </c>
      <c r="BU6" s="99" t="s">
        <v>19</v>
      </c>
      <c r="BV6" s="328"/>
      <c r="BW6" s="329"/>
      <c r="BX6" s="222" t="s">
        <v>17</v>
      </c>
      <c r="BY6" s="222" t="s">
        <v>18</v>
      </c>
      <c r="BZ6" s="222" t="s">
        <v>19</v>
      </c>
      <c r="CA6" s="329"/>
      <c r="CB6" s="223" t="s">
        <v>17</v>
      </c>
      <c r="CC6" s="223" t="s">
        <v>18</v>
      </c>
      <c r="CD6" s="224" t="s">
        <v>19</v>
      </c>
    </row>
    <row r="7" spans="1:82" ht="9.75">
      <c r="A7" s="77"/>
      <c r="B7" s="78"/>
      <c r="C7" s="70"/>
      <c r="D7" s="70"/>
      <c r="E7" s="70"/>
      <c r="F7" s="70"/>
      <c r="G7" s="70"/>
      <c r="H7" s="70"/>
      <c r="I7" s="70"/>
      <c r="J7" s="76"/>
      <c r="K7" s="78"/>
      <c r="L7" s="70"/>
      <c r="M7" s="70"/>
      <c r="N7" s="70"/>
      <c r="O7" s="70"/>
      <c r="P7" s="70"/>
      <c r="Q7" s="70"/>
      <c r="R7" s="70"/>
      <c r="S7" s="76"/>
      <c r="T7" s="78"/>
      <c r="U7" s="70"/>
      <c r="V7" s="70"/>
      <c r="W7" s="70"/>
      <c r="X7" s="70"/>
      <c r="Y7" s="70"/>
      <c r="Z7" s="70"/>
      <c r="AA7" s="70"/>
      <c r="AB7" s="76"/>
      <c r="AC7" s="78"/>
      <c r="AD7" s="70"/>
      <c r="AE7" s="70"/>
      <c r="AF7" s="70"/>
      <c r="AG7" s="70"/>
      <c r="AH7" s="70"/>
      <c r="AI7" s="70"/>
      <c r="AJ7" s="70"/>
      <c r="AK7" s="76"/>
      <c r="AL7" s="78"/>
      <c r="AM7" s="70"/>
      <c r="AN7" s="70"/>
      <c r="AO7" s="70"/>
      <c r="AP7" s="70"/>
      <c r="AQ7" s="70"/>
      <c r="AR7" s="70"/>
      <c r="AS7" s="70"/>
      <c r="AT7" s="76"/>
      <c r="AU7" s="89"/>
      <c r="AV7" s="90"/>
      <c r="AW7" s="90"/>
      <c r="AX7" s="90"/>
      <c r="AY7" s="90"/>
      <c r="AZ7" s="90"/>
      <c r="BA7" s="90"/>
      <c r="BB7" s="90"/>
      <c r="BC7" s="91"/>
      <c r="BD7" s="78"/>
      <c r="BE7" s="70"/>
      <c r="BF7" s="70"/>
      <c r="BG7" s="70"/>
      <c r="BH7" s="70"/>
      <c r="BI7" s="70"/>
      <c r="BJ7" s="70"/>
      <c r="BK7" s="70"/>
      <c r="BL7" s="76"/>
      <c r="BM7" s="97"/>
      <c r="BN7" s="98"/>
      <c r="BO7" s="98"/>
      <c r="BP7" s="98"/>
      <c r="BQ7" s="98"/>
      <c r="BR7" s="98"/>
      <c r="BS7" s="98"/>
      <c r="BT7" s="98"/>
      <c r="BU7" s="99"/>
      <c r="BV7" s="225"/>
      <c r="BW7" s="223"/>
      <c r="BX7" s="223"/>
      <c r="BY7" s="223"/>
      <c r="BZ7" s="223"/>
      <c r="CA7" s="223"/>
      <c r="CB7" s="223"/>
      <c r="CC7" s="223"/>
      <c r="CD7" s="224"/>
    </row>
    <row r="8" spans="1:82" ht="15.75" customHeight="1">
      <c r="A8" s="10" t="s">
        <v>0</v>
      </c>
      <c r="B8" s="79">
        <f>G8+C8</f>
        <v>3871</v>
      </c>
      <c r="C8" s="71">
        <f>SUM(D8:F8)</f>
        <v>2066</v>
      </c>
      <c r="D8" s="80">
        <f>SUM(D9:D32)</f>
        <v>978</v>
      </c>
      <c r="E8" s="80">
        <f>SUM(E9:E32)</f>
        <v>1006</v>
      </c>
      <c r="F8" s="71">
        <f>SUM(F9:F32)</f>
        <v>82</v>
      </c>
      <c r="G8" s="80">
        <v>1805</v>
      </c>
      <c r="H8" s="21" t="s">
        <v>20</v>
      </c>
      <c r="I8" s="21" t="s">
        <v>20</v>
      </c>
      <c r="J8" s="22" t="s">
        <v>20</v>
      </c>
      <c r="K8" s="79">
        <f>L8+P8</f>
        <v>3173</v>
      </c>
      <c r="L8" s="71">
        <f>SUM(M8:O8)</f>
        <v>1606</v>
      </c>
      <c r="M8" s="80">
        <f>SUM(M9:M32)</f>
        <v>935</v>
      </c>
      <c r="N8" s="71">
        <f>SUM(N9:N32)</f>
        <v>653</v>
      </c>
      <c r="O8" s="71">
        <f>SUM(O9:O32)</f>
        <v>18</v>
      </c>
      <c r="P8" s="71">
        <v>1567</v>
      </c>
      <c r="Q8" s="21" t="s">
        <v>20</v>
      </c>
      <c r="R8" s="21" t="s">
        <v>20</v>
      </c>
      <c r="S8" s="22" t="s">
        <v>20</v>
      </c>
      <c r="T8" s="69">
        <f aca="true" t="shared" si="0" ref="T8:Y8">K8/B8*100</f>
        <v>81.96848359597003</v>
      </c>
      <c r="U8" s="11">
        <f t="shared" si="0"/>
        <v>77.73475314617619</v>
      </c>
      <c r="V8" s="11">
        <f t="shared" si="0"/>
        <v>95.60327198364008</v>
      </c>
      <c r="W8" s="11">
        <f t="shared" si="0"/>
        <v>64.91053677932406</v>
      </c>
      <c r="X8" s="11">
        <f t="shared" si="0"/>
        <v>21.951219512195124</v>
      </c>
      <c r="Y8" s="11">
        <f t="shared" si="0"/>
        <v>86.81440443213296</v>
      </c>
      <c r="Z8" s="68"/>
      <c r="AA8" s="68"/>
      <c r="AB8" s="81"/>
      <c r="AC8" s="79">
        <f>AD8+AH8</f>
        <v>3399</v>
      </c>
      <c r="AD8" s="71">
        <f>SUM(AE8:AG8)</f>
        <v>1907</v>
      </c>
      <c r="AE8" s="80">
        <f>SUM(AE9:AE32)</f>
        <v>853</v>
      </c>
      <c r="AF8" s="71">
        <f>SUM(AF9:AF32)</f>
        <v>674</v>
      </c>
      <c r="AG8" s="71">
        <f>SUM(AG9:AG32)</f>
        <v>380</v>
      </c>
      <c r="AH8" s="71">
        <v>1492</v>
      </c>
      <c r="AI8" s="21" t="s">
        <v>20</v>
      </c>
      <c r="AJ8" s="21" t="s">
        <v>20</v>
      </c>
      <c r="AK8" s="22" t="s">
        <v>20</v>
      </c>
      <c r="AL8" s="69">
        <f>AC8/K8*100</f>
        <v>107.12259691144028</v>
      </c>
      <c r="AM8" s="11">
        <f>AD8/L8*100</f>
        <v>118.74221668742217</v>
      </c>
      <c r="AN8" s="11">
        <f>AE8/M8*100</f>
        <v>91.22994652406418</v>
      </c>
      <c r="AO8" s="11">
        <f>AF8/N8*100</f>
        <v>103.21592649310874</v>
      </c>
      <c r="AP8" s="11">
        <f>AG8/O8*100</f>
        <v>2111.111111111111</v>
      </c>
      <c r="AQ8" s="11">
        <f>AH8/Y8*100</f>
        <v>1718.6088066368857</v>
      </c>
      <c r="AR8" s="68"/>
      <c r="AS8" s="68"/>
      <c r="AT8" s="81"/>
      <c r="AU8" s="79">
        <f>AV8+AZ8</f>
        <v>3329</v>
      </c>
      <c r="AV8" s="71">
        <f>SUM(AW8:AY8)</f>
        <v>1913</v>
      </c>
      <c r="AW8" s="80">
        <f>SUM(AW9:AW32)</f>
        <v>818</v>
      </c>
      <c r="AX8" s="71">
        <f>SUM(AX9:AX32)</f>
        <v>747</v>
      </c>
      <c r="AY8" s="71">
        <f>SUM(AY9:AY32)</f>
        <v>348</v>
      </c>
      <c r="AZ8" s="71">
        <v>1416</v>
      </c>
      <c r="BA8" s="21" t="s">
        <v>20</v>
      </c>
      <c r="BB8" s="21" t="s">
        <v>20</v>
      </c>
      <c r="BC8" s="22" t="s">
        <v>51</v>
      </c>
      <c r="BD8" s="69">
        <f>AU8/AC8*100</f>
        <v>97.94057075610473</v>
      </c>
      <c r="BE8" s="11">
        <f>AV8/AD8*100</f>
        <v>100.31463030938647</v>
      </c>
      <c r="BF8" s="11">
        <f>AW8/AE8*100</f>
        <v>95.8968347010551</v>
      </c>
      <c r="BG8" s="11">
        <f>AX8/AF8*100</f>
        <v>110.83086053412462</v>
      </c>
      <c r="BH8" s="11">
        <f>AY8/AG8*100</f>
        <v>91.57894736842105</v>
      </c>
      <c r="BI8" s="11">
        <f>AZ8/AQ8*100</f>
        <v>82.39222297312352</v>
      </c>
      <c r="BJ8" s="11" t="e">
        <f>BA8/AI8*100</f>
        <v>#VALUE!</v>
      </c>
      <c r="BK8" s="11" t="e">
        <f>BB8/AJ8*100</f>
        <v>#VALUE!</v>
      </c>
      <c r="BL8" s="22" t="s">
        <v>51</v>
      </c>
      <c r="BM8" s="79">
        <f>BN8+BR8</f>
        <v>3259</v>
      </c>
      <c r="BN8" s="71">
        <f>SUM(BO8:BQ8)</f>
        <v>1944</v>
      </c>
      <c r="BO8" s="80">
        <f>SUM(BO9:BO32)</f>
        <v>847</v>
      </c>
      <c r="BP8" s="71">
        <f>SUM(BP9:BP32)</f>
        <v>749</v>
      </c>
      <c r="BQ8" s="71">
        <f>SUM(BQ9:BQ32)</f>
        <v>348</v>
      </c>
      <c r="BR8" s="71">
        <v>1315</v>
      </c>
      <c r="BS8" s="21" t="s">
        <v>20</v>
      </c>
      <c r="BT8" s="21" t="s">
        <v>20</v>
      </c>
      <c r="BU8" s="22" t="s">
        <v>51</v>
      </c>
      <c r="BV8" s="226">
        <f aca="true" t="shared" si="1" ref="BV8:CC8">BM8/AU8*100</f>
        <v>97.8972664463803</v>
      </c>
      <c r="BW8" s="227">
        <f t="shared" si="1"/>
        <v>101.62049137480398</v>
      </c>
      <c r="BX8" s="227">
        <f t="shared" si="1"/>
        <v>103.54523227383862</v>
      </c>
      <c r="BY8" s="227">
        <f t="shared" si="1"/>
        <v>100.26773761713521</v>
      </c>
      <c r="BZ8" s="227">
        <f t="shared" si="1"/>
        <v>100</v>
      </c>
      <c r="CA8" s="227">
        <f t="shared" si="1"/>
        <v>92.86723163841808</v>
      </c>
      <c r="CB8" s="227" t="e">
        <f t="shared" si="1"/>
        <v>#VALUE!</v>
      </c>
      <c r="CC8" s="227" t="e">
        <f t="shared" si="1"/>
        <v>#VALUE!</v>
      </c>
      <c r="CD8" s="228" t="s">
        <v>51</v>
      </c>
    </row>
    <row r="9" spans="1:82" ht="21" customHeight="1">
      <c r="A9" s="15" t="s">
        <v>1</v>
      </c>
      <c r="B9" s="18" t="s">
        <v>20</v>
      </c>
      <c r="C9" s="16">
        <f aca="true" t="shared" si="2" ref="C9:C32">SUM(D9:F9)</f>
        <v>19</v>
      </c>
      <c r="D9" s="16">
        <v>19</v>
      </c>
      <c r="E9" s="16">
        <v>0</v>
      </c>
      <c r="F9" s="16">
        <v>0</v>
      </c>
      <c r="G9" s="19" t="s">
        <v>20</v>
      </c>
      <c r="H9" s="19" t="s">
        <v>20</v>
      </c>
      <c r="I9" s="19" t="s">
        <v>20</v>
      </c>
      <c r="J9" s="20" t="s">
        <v>20</v>
      </c>
      <c r="K9" s="18" t="s">
        <v>20</v>
      </c>
      <c r="L9" s="16">
        <f>M9+N9+O9</f>
        <v>4</v>
      </c>
      <c r="M9" s="16">
        <v>4</v>
      </c>
      <c r="N9" s="16">
        <v>0</v>
      </c>
      <c r="O9" s="16">
        <v>0</v>
      </c>
      <c r="P9" s="21" t="s">
        <v>20</v>
      </c>
      <c r="Q9" s="21" t="s">
        <v>20</v>
      </c>
      <c r="R9" s="21" t="s">
        <v>20</v>
      </c>
      <c r="S9" s="22" t="s">
        <v>20</v>
      </c>
      <c r="T9" s="23" t="s">
        <v>20</v>
      </c>
      <c r="U9" s="6">
        <f>L9/C9*100</f>
        <v>21.052631578947366</v>
      </c>
      <c r="V9" s="6">
        <f>M9/D9*100</f>
        <v>21.052631578947366</v>
      </c>
      <c r="W9" s="6">
        <v>0</v>
      </c>
      <c r="X9" s="6">
        <v>0</v>
      </c>
      <c r="Y9" s="6">
        <v>0</v>
      </c>
      <c r="Z9" s="17"/>
      <c r="AA9" s="17"/>
      <c r="AB9" s="24"/>
      <c r="AC9" s="18" t="s">
        <v>20</v>
      </c>
      <c r="AD9" s="16">
        <f>AE9+AF9+AG9</f>
        <v>1</v>
      </c>
      <c r="AE9" s="16">
        <v>1</v>
      </c>
      <c r="AF9" s="16">
        <v>0</v>
      </c>
      <c r="AG9" s="16">
        <v>0</v>
      </c>
      <c r="AH9" s="21" t="s">
        <v>20</v>
      </c>
      <c r="AI9" s="21" t="s">
        <v>20</v>
      </c>
      <c r="AJ9" s="21" t="s">
        <v>20</v>
      </c>
      <c r="AK9" s="22" t="s">
        <v>20</v>
      </c>
      <c r="AL9" s="23" t="s">
        <v>20</v>
      </c>
      <c r="AM9" s="6">
        <f aca="true" t="shared" si="3" ref="AM9:AM32">AD9/L9*100</f>
        <v>25</v>
      </c>
      <c r="AN9" s="6">
        <f aca="true" t="shared" si="4" ref="AN9:AN32">AE9/M9*100</f>
        <v>25</v>
      </c>
      <c r="AO9" s="6">
        <v>0</v>
      </c>
      <c r="AP9" s="6">
        <v>0</v>
      </c>
      <c r="AQ9" s="6">
        <v>0</v>
      </c>
      <c r="AR9" s="17"/>
      <c r="AS9" s="17"/>
      <c r="AT9" s="24"/>
      <c r="AU9" s="18" t="s">
        <v>20</v>
      </c>
      <c r="AV9" s="16">
        <f>AW9+AX9+AY9</f>
        <v>1</v>
      </c>
      <c r="AW9" s="129">
        <v>1</v>
      </c>
      <c r="AX9" s="16">
        <v>0</v>
      </c>
      <c r="AY9" s="16">
        <v>0</v>
      </c>
      <c r="AZ9" s="21" t="s">
        <v>20</v>
      </c>
      <c r="BA9" s="21" t="s">
        <v>20</v>
      </c>
      <c r="BB9" s="21" t="s">
        <v>20</v>
      </c>
      <c r="BC9" s="22" t="s">
        <v>51</v>
      </c>
      <c r="BD9" s="69" t="e">
        <f aca="true" t="shared" si="5" ref="BD9:BD32">AU9/AC9*100</f>
        <v>#VALUE!</v>
      </c>
      <c r="BE9" s="11">
        <f aca="true" t="shared" si="6" ref="BE9:BE32">AV9/AD9*100</f>
        <v>100</v>
      </c>
      <c r="BF9" s="11">
        <f aca="true" t="shared" si="7" ref="BF9:BF32">AW9/AE9*100</f>
        <v>100</v>
      </c>
      <c r="BG9" s="11" t="e">
        <f aca="true" t="shared" si="8" ref="BG9:BG32">AX9/AF9*100</f>
        <v>#DIV/0!</v>
      </c>
      <c r="BH9" s="11" t="e">
        <f aca="true" t="shared" si="9" ref="BH9:BH32">AY9/AG9*100</f>
        <v>#DIV/0!</v>
      </c>
      <c r="BI9" s="11" t="e">
        <f aca="true" t="shared" si="10" ref="BI9:BI32">AZ9/AQ9*100</f>
        <v>#VALUE!</v>
      </c>
      <c r="BJ9" s="11" t="e">
        <f aca="true" t="shared" si="11" ref="BJ9:BJ32">BA9/AI9*100</f>
        <v>#VALUE!</v>
      </c>
      <c r="BK9" s="11" t="e">
        <f aca="true" t="shared" si="12" ref="BK9:BK32">BB9/AJ9*100</f>
        <v>#VALUE!</v>
      </c>
      <c r="BL9" s="22" t="s">
        <v>51</v>
      </c>
      <c r="BM9" s="18" t="s">
        <v>20</v>
      </c>
      <c r="BN9" s="16">
        <f>BO9+BP9+BQ9</f>
        <v>1</v>
      </c>
      <c r="BO9" s="129">
        <v>1</v>
      </c>
      <c r="BP9" s="16">
        <v>0</v>
      </c>
      <c r="BQ9" s="16">
        <v>0</v>
      </c>
      <c r="BR9" s="21" t="s">
        <v>20</v>
      </c>
      <c r="BS9" s="21" t="s">
        <v>20</v>
      </c>
      <c r="BT9" s="21" t="s">
        <v>20</v>
      </c>
      <c r="BU9" s="22" t="s">
        <v>51</v>
      </c>
      <c r="BV9" s="226"/>
      <c r="BW9" s="227">
        <f aca="true" t="shared" si="13" ref="BW9:BW31">BN9/AV9*100</f>
        <v>100</v>
      </c>
      <c r="BX9" s="229">
        <f>BO9/AW9*100</f>
        <v>100</v>
      </c>
      <c r="BY9" s="229"/>
      <c r="BZ9" s="229"/>
      <c r="CA9" s="227"/>
      <c r="CB9" s="227" t="e">
        <f aca="true" t="shared" si="14" ref="CB9:CB32">BS9/BA9*100</f>
        <v>#VALUE!</v>
      </c>
      <c r="CC9" s="227" t="e">
        <f aca="true" t="shared" si="15" ref="CC9:CC32">BT9/BB9*100</f>
        <v>#VALUE!</v>
      </c>
      <c r="CD9" s="228" t="s">
        <v>51</v>
      </c>
    </row>
    <row r="10" spans="1:82" ht="10.5">
      <c r="A10" s="15" t="s">
        <v>2</v>
      </c>
      <c r="B10" s="18" t="s">
        <v>20</v>
      </c>
      <c r="C10" s="16">
        <f t="shared" si="2"/>
        <v>8</v>
      </c>
      <c r="D10" s="16">
        <v>1</v>
      </c>
      <c r="E10" s="16">
        <v>7</v>
      </c>
      <c r="F10" s="16">
        <v>0</v>
      </c>
      <c r="G10" s="19" t="s">
        <v>20</v>
      </c>
      <c r="H10" s="19" t="s">
        <v>20</v>
      </c>
      <c r="I10" s="19" t="s">
        <v>20</v>
      </c>
      <c r="J10" s="20" t="s">
        <v>20</v>
      </c>
      <c r="K10" s="18" t="s">
        <v>20</v>
      </c>
      <c r="L10" s="16">
        <f aca="true" t="shared" si="16" ref="L10:L32">M10+N10+O10</f>
        <v>5</v>
      </c>
      <c r="M10" s="16">
        <v>5</v>
      </c>
      <c r="N10" s="16">
        <v>0</v>
      </c>
      <c r="O10" s="16">
        <v>0</v>
      </c>
      <c r="P10" s="21" t="s">
        <v>20</v>
      </c>
      <c r="Q10" s="21" t="s">
        <v>20</v>
      </c>
      <c r="R10" s="21" t="s">
        <v>20</v>
      </c>
      <c r="S10" s="22" t="s">
        <v>20</v>
      </c>
      <c r="T10" s="23" t="s">
        <v>20</v>
      </c>
      <c r="U10" s="6">
        <f>L10/C10*100</f>
        <v>62.5</v>
      </c>
      <c r="V10" s="6">
        <f>M10/D10*100</f>
        <v>500</v>
      </c>
      <c r="W10" s="6">
        <v>0</v>
      </c>
      <c r="X10" s="6">
        <v>0</v>
      </c>
      <c r="Y10" s="6">
        <v>0</v>
      </c>
      <c r="Z10" s="17"/>
      <c r="AA10" s="17"/>
      <c r="AB10" s="24"/>
      <c r="AC10" s="18" t="s">
        <v>20</v>
      </c>
      <c r="AD10" s="16">
        <f aca="true" t="shared" si="17" ref="AD10:AD24">AE10+AF10+AG10</f>
        <v>4</v>
      </c>
      <c r="AE10" s="16">
        <v>4</v>
      </c>
      <c r="AF10" s="16">
        <v>0</v>
      </c>
      <c r="AG10" s="16">
        <v>0</v>
      </c>
      <c r="AH10" s="21" t="s">
        <v>20</v>
      </c>
      <c r="AI10" s="21" t="s">
        <v>20</v>
      </c>
      <c r="AJ10" s="21" t="s">
        <v>20</v>
      </c>
      <c r="AK10" s="22" t="s">
        <v>20</v>
      </c>
      <c r="AL10" s="23" t="s">
        <v>20</v>
      </c>
      <c r="AM10" s="6">
        <f t="shared" si="3"/>
        <v>80</v>
      </c>
      <c r="AN10" s="6">
        <f t="shared" si="4"/>
        <v>80</v>
      </c>
      <c r="AO10" s="6">
        <v>0</v>
      </c>
      <c r="AP10" s="6">
        <v>0</v>
      </c>
      <c r="AQ10" s="6">
        <v>0</v>
      </c>
      <c r="AR10" s="17"/>
      <c r="AS10" s="17"/>
      <c r="AT10" s="24"/>
      <c r="AU10" s="18" t="s">
        <v>20</v>
      </c>
      <c r="AV10" s="16">
        <f aca="true" t="shared" si="18" ref="AV10:AV24">AW10+AX10+AY10</f>
        <v>4</v>
      </c>
      <c r="AW10" s="129">
        <v>4</v>
      </c>
      <c r="AX10" s="16">
        <v>0</v>
      </c>
      <c r="AY10" s="16">
        <v>0</v>
      </c>
      <c r="AZ10" s="21" t="s">
        <v>20</v>
      </c>
      <c r="BA10" s="21" t="s">
        <v>20</v>
      </c>
      <c r="BB10" s="21" t="s">
        <v>20</v>
      </c>
      <c r="BC10" s="22" t="s">
        <v>51</v>
      </c>
      <c r="BD10" s="69" t="e">
        <f t="shared" si="5"/>
        <v>#VALUE!</v>
      </c>
      <c r="BE10" s="11">
        <f t="shared" si="6"/>
        <v>100</v>
      </c>
      <c r="BF10" s="11">
        <f t="shared" si="7"/>
        <v>100</v>
      </c>
      <c r="BG10" s="11" t="e">
        <f t="shared" si="8"/>
        <v>#DIV/0!</v>
      </c>
      <c r="BH10" s="11" t="e">
        <f t="shared" si="9"/>
        <v>#DIV/0!</v>
      </c>
      <c r="BI10" s="11" t="e">
        <f t="shared" si="10"/>
        <v>#VALUE!</v>
      </c>
      <c r="BJ10" s="11" t="e">
        <f t="shared" si="11"/>
        <v>#VALUE!</v>
      </c>
      <c r="BK10" s="11" t="e">
        <f t="shared" si="12"/>
        <v>#VALUE!</v>
      </c>
      <c r="BL10" s="22" t="s">
        <v>51</v>
      </c>
      <c r="BM10" s="18" t="s">
        <v>20</v>
      </c>
      <c r="BN10" s="16">
        <f aca="true" t="shared" si="19" ref="BN10:BN24">BO10+BP10+BQ10</f>
        <v>2</v>
      </c>
      <c r="BO10" s="129">
        <v>2</v>
      </c>
      <c r="BP10" s="16">
        <v>0</v>
      </c>
      <c r="BQ10" s="16">
        <v>0</v>
      </c>
      <c r="BR10" s="21" t="s">
        <v>20</v>
      </c>
      <c r="BS10" s="21" t="s">
        <v>20</v>
      </c>
      <c r="BT10" s="21" t="s">
        <v>20</v>
      </c>
      <c r="BU10" s="22" t="s">
        <v>51</v>
      </c>
      <c r="BV10" s="226"/>
      <c r="BW10" s="227">
        <f t="shared" si="13"/>
        <v>50</v>
      </c>
      <c r="BX10" s="229">
        <f>BO10/AW10*100</f>
        <v>50</v>
      </c>
      <c r="BY10" s="229"/>
      <c r="BZ10" s="229"/>
      <c r="CA10" s="227"/>
      <c r="CB10" s="227" t="e">
        <f t="shared" si="14"/>
        <v>#VALUE!</v>
      </c>
      <c r="CC10" s="227" t="e">
        <f t="shared" si="15"/>
        <v>#VALUE!</v>
      </c>
      <c r="CD10" s="228" t="s">
        <v>51</v>
      </c>
    </row>
    <row r="11" spans="1:82" ht="10.5">
      <c r="A11" s="15" t="s">
        <v>3</v>
      </c>
      <c r="B11" s="18" t="s">
        <v>20</v>
      </c>
      <c r="C11" s="16">
        <f t="shared" si="2"/>
        <v>34</v>
      </c>
      <c r="D11" s="16">
        <v>0</v>
      </c>
      <c r="E11" s="16">
        <v>34</v>
      </c>
      <c r="F11" s="16">
        <v>0</v>
      </c>
      <c r="G11" s="19" t="s">
        <v>20</v>
      </c>
      <c r="H11" s="19" t="s">
        <v>20</v>
      </c>
      <c r="I11" s="19" t="s">
        <v>20</v>
      </c>
      <c r="J11" s="20" t="s">
        <v>20</v>
      </c>
      <c r="K11" s="18" t="s">
        <v>20</v>
      </c>
      <c r="L11" s="16">
        <f t="shared" si="16"/>
        <v>33</v>
      </c>
      <c r="M11" s="16">
        <v>0</v>
      </c>
      <c r="N11" s="16">
        <v>33</v>
      </c>
      <c r="O11" s="16">
        <v>0</v>
      </c>
      <c r="P11" s="21" t="s">
        <v>20</v>
      </c>
      <c r="Q11" s="21" t="s">
        <v>20</v>
      </c>
      <c r="R11" s="21" t="s">
        <v>20</v>
      </c>
      <c r="S11" s="22" t="s">
        <v>20</v>
      </c>
      <c r="T11" s="23" t="s">
        <v>20</v>
      </c>
      <c r="U11" s="6">
        <f aca="true" t="shared" si="20" ref="U11:U25">L11/C11*100</f>
        <v>97.05882352941177</v>
      </c>
      <c r="V11" s="6">
        <v>0</v>
      </c>
      <c r="W11" s="6">
        <f>N11/E11*100</f>
        <v>97.05882352941177</v>
      </c>
      <c r="X11" s="6">
        <v>0</v>
      </c>
      <c r="Y11" s="6">
        <v>0</v>
      </c>
      <c r="Z11" s="17"/>
      <c r="AA11" s="17"/>
      <c r="AB11" s="24"/>
      <c r="AC11" s="18" t="s">
        <v>20</v>
      </c>
      <c r="AD11" s="16">
        <f t="shared" si="17"/>
        <v>37</v>
      </c>
      <c r="AE11" s="16">
        <v>0</v>
      </c>
      <c r="AF11" s="16">
        <v>37</v>
      </c>
      <c r="AG11" s="16">
        <v>0</v>
      </c>
      <c r="AH11" s="21" t="s">
        <v>20</v>
      </c>
      <c r="AI11" s="21" t="s">
        <v>20</v>
      </c>
      <c r="AJ11" s="21" t="s">
        <v>20</v>
      </c>
      <c r="AK11" s="22" t="s">
        <v>20</v>
      </c>
      <c r="AL11" s="23" t="s">
        <v>20</v>
      </c>
      <c r="AM11" s="6">
        <f t="shared" si="3"/>
        <v>112.12121212121211</v>
      </c>
      <c r="AN11" s="6"/>
      <c r="AO11" s="6">
        <f>AF11/N11*100</f>
        <v>112.12121212121211</v>
      </c>
      <c r="AP11" s="6">
        <v>0</v>
      </c>
      <c r="AQ11" s="6">
        <v>0</v>
      </c>
      <c r="AR11" s="17"/>
      <c r="AS11" s="17"/>
      <c r="AT11" s="24"/>
      <c r="AU11" s="18" t="s">
        <v>20</v>
      </c>
      <c r="AV11" s="16">
        <f t="shared" si="18"/>
        <v>40</v>
      </c>
      <c r="AW11" s="129">
        <v>0</v>
      </c>
      <c r="AX11" s="16">
        <v>40</v>
      </c>
      <c r="AY11" s="16">
        <v>0</v>
      </c>
      <c r="AZ11" s="21" t="s">
        <v>20</v>
      </c>
      <c r="BA11" s="21" t="s">
        <v>20</v>
      </c>
      <c r="BB11" s="21" t="s">
        <v>20</v>
      </c>
      <c r="BC11" s="22" t="s">
        <v>51</v>
      </c>
      <c r="BD11" s="69" t="e">
        <f t="shared" si="5"/>
        <v>#VALUE!</v>
      </c>
      <c r="BE11" s="11">
        <f t="shared" si="6"/>
        <v>108.10810810810811</v>
      </c>
      <c r="BF11" s="11" t="e">
        <f t="shared" si="7"/>
        <v>#DIV/0!</v>
      </c>
      <c r="BG11" s="11">
        <f t="shared" si="8"/>
        <v>108.10810810810811</v>
      </c>
      <c r="BH11" s="11" t="e">
        <f t="shared" si="9"/>
        <v>#DIV/0!</v>
      </c>
      <c r="BI11" s="11" t="e">
        <f t="shared" si="10"/>
        <v>#VALUE!</v>
      </c>
      <c r="BJ11" s="11" t="e">
        <f t="shared" si="11"/>
        <v>#VALUE!</v>
      </c>
      <c r="BK11" s="11" t="e">
        <f t="shared" si="12"/>
        <v>#VALUE!</v>
      </c>
      <c r="BL11" s="22" t="s">
        <v>51</v>
      </c>
      <c r="BM11" s="18" t="s">
        <v>20</v>
      </c>
      <c r="BN11" s="16">
        <f t="shared" si="19"/>
        <v>40</v>
      </c>
      <c r="BO11" s="129">
        <v>0</v>
      </c>
      <c r="BP11" s="16">
        <v>40</v>
      </c>
      <c r="BQ11" s="16">
        <v>0</v>
      </c>
      <c r="BR11" s="21" t="s">
        <v>20</v>
      </c>
      <c r="BS11" s="21" t="s">
        <v>20</v>
      </c>
      <c r="BT11" s="21" t="s">
        <v>20</v>
      </c>
      <c r="BU11" s="22" t="s">
        <v>51</v>
      </c>
      <c r="BV11" s="226"/>
      <c r="BW11" s="227">
        <f t="shared" si="13"/>
        <v>100</v>
      </c>
      <c r="BX11" s="229"/>
      <c r="BY11" s="229">
        <f>BP11/AX11*100</f>
        <v>100</v>
      </c>
      <c r="BZ11" s="229"/>
      <c r="CA11" s="227"/>
      <c r="CB11" s="227" t="e">
        <f t="shared" si="14"/>
        <v>#VALUE!</v>
      </c>
      <c r="CC11" s="227" t="e">
        <f t="shared" si="15"/>
        <v>#VALUE!</v>
      </c>
      <c r="CD11" s="228" t="s">
        <v>51</v>
      </c>
    </row>
    <row r="12" spans="1:82" ht="14.25" customHeight="1">
      <c r="A12" s="15" t="s">
        <v>36</v>
      </c>
      <c r="B12" s="18" t="s">
        <v>20</v>
      </c>
      <c r="C12" s="16">
        <f t="shared" si="2"/>
        <v>1</v>
      </c>
      <c r="D12" s="16">
        <v>1</v>
      </c>
      <c r="E12" s="16">
        <v>0</v>
      </c>
      <c r="F12" s="16">
        <v>0</v>
      </c>
      <c r="G12" s="19" t="s">
        <v>20</v>
      </c>
      <c r="H12" s="19" t="s">
        <v>20</v>
      </c>
      <c r="I12" s="19" t="s">
        <v>20</v>
      </c>
      <c r="J12" s="20" t="s">
        <v>20</v>
      </c>
      <c r="K12" s="18" t="s">
        <v>20</v>
      </c>
      <c r="L12" s="16">
        <f t="shared" si="16"/>
        <v>0</v>
      </c>
      <c r="M12" s="16">
        <v>0</v>
      </c>
      <c r="N12" s="16">
        <v>0</v>
      </c>
      <c r="O12" s="16">
        <v>0</v>
      </c>
      <c r="P12" s="21" t="s">
        <v>20</v>
      </c>
      <c r="Q12" s="21" t="s">
        <v>20</v>
      </c>
      <c r="R12" s="21" t="s">
        <v>20</v>
      </c>
      <c r="S12" s="22" t="s">
        <v>20</v>
      </c>
      <c r="T12" s="23" t="s">
        <v>20</v>
      </c>
      <c r="U12" s="6"/>
      <c r="V12" s="6">
        <v>0</v>
      </c>
      <c r="W12" s="6">
        <v>0</v>
      </c>
      <c r="X12" s="6">
        <v>0</v>
      </c>
      <c r="Y12" s="6">
        <v>0</v>
      </c>
      <c r="Z12" s="17"/>
      <c r="AA12" s="17"/>
      <c r="AB12" s="24"/>
      <c r="AC12" s="18" t="s">
        <v>20</v>
      </c>
      <c r="AD12" s="16">
        <f t="shared" si="17"/>
        <v>0</v>
      </c>
      <c r="AE12" s="16">
        <v>0</v>
      </c>
      <c r="AF12" s="16">
        <v>0</v>
      </c>
      <c r="AG12" s="16">
        <v>0</v>
      </c>
      <c r="AH12" s="21" t="s">
        <v>20</v>
      </c>
      <c r="AI12" s="21" t="s">
        <v>20</v>
      </c>
      <c r="AJ12" s="21" t="s">
        <v>20</v>
      </c>
      <c r="AK12" s="22" t="s">
        <v>20</v>
      </c>
      <c r="AL12" s="23" t="s">
        <v>20</v>
      </c>
      <c r="AM12" s="6"/>
      <c r="AN12" s="6"/>
      <c r="AO12" s="6"/>
      <c r="AP12" s="6">
        <v>0</v>
      </c>
      <c r="AQ12" s="6">
        <v>0</v>
      </c>
      <c r="AR12" s="17"/>
      <c r="AS12" s="17"/>
      <c r="AT12" s="24"/>
      <c r="AU12" s="18" t="s">
        <v>20</v>
      </c>
      <c r="AV12" s="16">
        <f t="shared" si="18"/>
        <v>0</v>
      </c>
      <c r="AW12" s="129">
        <v>0</v>
      </c>
      <c r="AX12" s="16">
        <v>0</v>
      </c>
      <c r="AY12" s="16">
        <v>0</v>
      </c>
      <c r="AZ12" s="21" t="s">
        <v>20</v>
      </c>
      <c r="BA12" s="21" t="s">
        <v>20</v>
      </c>
      <c r="BB12" s="21" t="s">
        <v>20</v>
      </c>
      <c r="BC12" s="22" t="s">
        <v>51</v>
      </c>
      <c r="BD12" s="69" t="e">
        <f t="shared" si="5"/>
        <v>#VALUE!</v>
      </c>
      <c r="BE12" s="11" t="e">
        <f t="shared" si="6"/>
        <v>#DIV/0!</v>
      </c>
      <c r="BF12" s="11" t="e">
        <f t="shared" si="7"/>
        <v>#DIV/0!</v>
      </c>
      <c r="BG12" s="11" t="e">
        <f t="shared" si="8"/>
        <v>#DIV/0!</v>
      </c>
      <c r="BH12" s="11" t="e">
        <f t="shared" si="9"/>
        <v>#DIV/0!</v>
      </c>
      <c r="BI12" s="11" t="e">
        <f t="shared" si="10"/>
        <v>#VALUE!</v>
      </c>
      <c r="BJ12" s="11" t="e">
        <f t="shared" si="11"/>
        <v>#VALUE!</v>
      </c>
      <c r="BK12" s="11" t="e">
        <f t="shared" si="12"/>
        <v>#VALUE!</v>
      </c>
      <c r="BL12" s="22" t="s">
        <v>51</v>
      </c>
      <c r="BM12" s="18" t="s">
        <v>20</v>
      </c>
      <c r="BN12" s="16">
        <f t="shared" si="19"/>
        <v>0</v>
      </c>
      <c r="BO12" s="129">
        <v>0</v>
      </c>
      <c r="BP12" s="16">
        <v>0</v>
      </c>
      <c r="BQ12" s="16">
        <v>0</v>
      </c>
      <c r="BR12" s="21" t="s">
        <v>20</v>
      </c>
      <c r="BS12" s="21" t="s">
        <v>20</v>
      </c>
      <c r="BT12" s="21" t="s">
        <v>20</v>
      </c>
      <c r="BU12" s="22" t="s">
        <v>51</v>
      </c>
      <c r="BV12" s="226"/>
      <c r="BW12" s="227"/>
      <c r="BX12" s="229"/>
      <c r="BY12" s="229"/>
      <c r="BZ12" s="229"/>
      <c r="CA12" s="227"/>
      <c r="CB12" s="227" t="e">
        <f t="shared" si="14"/>
        <v>#VALUE!</v>
      </c>
      <c r="CC12" s="227" t="e">
        <f t="shared" si="15"/>
        <v>#VALUE!</v>
      </c>
      <c r="CD12" s="228" t="s">
        <v>51</v>
      </c>
    </row>
    <row r="13" spans="1:82" ht="15" customHeight="1">
      <c r="A13" s="15" t="s">
        <v>4</v>
      </c>
      <c r="B13" s="18" t="s">
        <v>20</v>
      </c>
      <c r="C13" s="16">
        <f t="shared" si="2"/>
        <v>384</v>
      </c>
      <c r="D13" s="16">
        <v>123</v>
      </c>
      <c r="E13" s="16">
        <v>260</v>
      </c>
      <c r="F13" s="16">
        <v>1</v>
      </c>
      <c r="G13" s="19" t="s">
        <v>20</v>
      </c>
      <c r="H13" s="19" t="s">
        <v>20</v>
      </c>
      <c r="I13" s="19" t="s">
        <v>20</v>
      </c>
      <c r="J13" s="20" t="s">
        <v>20</v>
      </c>
      <c r="K13" s="18" t="s">
        <v>20</v>
      </c>
      <c r="L13" s="16">
        <f t="shared" si="16"/>
        <v>283</v>
      </c>
      <c r="M13" s="16">
        <v>143</v>
      </c>
      <c r="N13" s="16">
        <v>140</v>
      </c>
      <c r="O13" s="16">
        <v>0</v>
      </c>
      <c r="P13" s="21" t="s">
        <v>20</v>
      </c>
      <c r="Q13" s="21" t="s">
        <v>20</v>
      </c>
      <c r="R13" s="21" t="s">
        <v>20</v>
      </c>
      <c r="S13" s="22" t="s">
        <v>20</v>
      </c>
      <c r="T13" s="23" t="s">
        <v>20</v>
      </c>
      <c r="U13" s="6">
        <f t="shared" si="20"/>
        <v>73.69791666666666</v>
      </c>
      <c r="V13" s="6">
        <f>M13/D13*100</f>
        <v>116.26016260162602</v>
      </c>
      <c r="W13" s="6">
        <f>N13/E13*100</f>
        <v>53.84615384615385</v>
      </c>
      <c r="X13" s="6">
        <f>O13/F13*100</f>
        <v>0</v>
      </c>
      <c r="Y13" s="6">
        <v>0</v>
      </c>
      <c r="Z13" s="17"/>
      <c r="AA13" s="17"/>
      <c r="AB13" s="24"/>
      <c r="AC13" s="18" t="s">
        <v>20</v>
      </c>
      <c r="AD13" s="16">
        <f t="shared" si="17"/>
        <v>655</v>
      </c>
      <c r="AE13" s="16">
        <v>121</v>
      </c>
      <c r="AF13" s="16">
        <v>154</v>
      </c>
      <c r="AG13" s="16">
        <v>380</v>
      </c>
      <c r="AH13" s="21" t="s">
        <v>20</v>
      </c>
      <c r="AI13" s="21" t="s">
        <v>20</v>
      </c>
      <c r="AJ13" s="21" t="s">
        <v>20</v>
      </c>
      <c r="AK13" s="22" t="s">
        <v>20</v>
      </c>
      <c r="AL13" s="23" t="s">
        <v>20</v>
      </c>
      <c r="AM13" s="6">
        <f t="shared" si="3"/>
        <v>231.4487632508834</v>
      </c>
      <c r="AN13" s="6">
        <f t="shared" si="4"/>
        <v>84.61538461538461</v>
      </c>
      <c r="AO13" s="6">
        <f aca="true" t="shared" si="21" ref="AO13:AO28">AF13/N13*100</f>
        <v>110.00000000000001</v>
      </c>
      <c r="AP13" s="6"/>
      <c r="AQ13" s="6">
        <v>0</v>
      </c>
      <c r="AR13" s="17"/>
      <c r="AS13" s="17"/>
      <c r="AT13" s="24"/>
      <c r="AU13" s="18" t="s">
        <v>20</v>
      </c>
      <c r="AV13" s="16">
        <f t="shared" si="18"/>
        <v>655</v>
      </c>
      <c r="AW13" s="129">
        <v>121</v>
      </c>
      <c r="AX13" s="16">
        <v>186</v>
      </c>
      <c r="AY13" s="16">
        <v>348</v>
      </c>
      <c r="AZ13" s="21" t="s">
        <v>20</v>
      </c>
      <c r="BA13" s="21" t="s">
        <v>20</v>
      </c>
      <c r="BB13" s="21" t="s">
        <v>20</v>
      </c>
      <c r="BC13" s="22" t="s">
        <v>51</v>
      </c>
      <c r="BD13" s="69" t="e">
        <f t="shared" si="5"/>
        <v>#VALUE!</v>
      </c>
      <c r="BE13" s="11">
        <f t="shared" si="6"/>
        <v>100</v>
      </c>
      <c r="BF13" s="11">
        <f t="shared" si="7"/>
        <v>100</v>
      </c>
      <c r="BG13" s="11">
        <f t="shared" si="8"/>
        <v>120.7792207792208</v>
      </c>
      <c r="BH13" s="11">
        <f t="shared" si="9"/>
        <v>91.57894736842105</v>
      </c>
      <c r="BI13" s="11" t="e">
        <f t="shared" si="10"/>
        <v>#VALUE!</v>
      </c>
      <c r="BJ13" s="11" t="e">
        <f t="shared" si="11"/>
        <v>#VALUE!</v>
      </c>
      <c r="BK13" s="11" t="e">
        <f t="shared" si="12"/>
        <v>#VALUE!</v>
      </c>
      <c r="BL13" s="22" t="s">
        <v>51</v>
      </c>
      <c r="BM13" s="18" t="s">
        <v>20</v>
      </c>
      <c r="BN13" s="16">
        <f t="shared" si="19"/>
        <v>665</v>
      </c>
      <c r="BO13" s="129">
        <v>121</v>
      </c>
      <c r="BP13" s="16">
        <v>196</v>
      </c>
      <c r="BQ13" s="16">
        <v>348</v>
      </c>
      <c r="BR13" s="21" t="s">
        <v>20</v>
      </c>
      <c r="BS13" s="21" t="s">
        <v>20</v>
      </c>
      <c r="BT13" s="21" t="s">
        <v>20</v>
      </c>
      <c r="BU13" s="22" t="s">
        <v>51</v>
      </c>
      <c r="BV13" s="226"/>
      <c r="BW13" s="227">
        <f t="shared" si="13"/>
        <v>101.52671755725191</v>
      </c>
      <c r="BX13" s="229">
        <f>BO13/AW13*100</f>
        <v>100</v>
      </c>
      <c r="BY13" s="229">
        <f>BP13/AX13*100</f>
        <v>105.3763440860215</v>
      </c>
      <c r="BZ13" s="229">
        <f>BQ13/AY13*100</f>
        <v>100</v>
      </c>
      <c r="CA13" s="227"/>
      <c r="CB13" s="227" t="e">
        <f t="shared" si="14"/>
        <v>#VALUE!</v>
      </c>
      <c r="CC13" s="227" t="e">
        <f t="shared" si="15"/>
        <v>#VALUE!</v>
      </c>
      <c r="CD13" s="228" t="s">
        <v>51</v>
      </c>
    </row>
    <row r="14" spans="1:82" ht="23.25" customHeight="1">
      <c r="A14" s="15" t="s">
        <v>13</v>
      </c>
      <c r="B14" s="18" t="s">
        <v>20</v>
      </c>
      <c r="C14" s="16">
        <f t="shared" si="2"/>
        <v>12</v>
      </c>
      <c r="D14" s="16">
        <v>12</v>
      </c>
      <c r="E14" s="16">
        <v>0</v>
      </c>
      <c r="F14" s="16">
        <v>0</v>
      </c>
      <c r="G14" s="19" t="s">
        <v>20</v>
      </c>
      <c r="H14" s="19" t="s">
        <v>20</v>
      </c>
      <c r="I14" s="19" t="s">
        <v>20</v>
      </c>
      <c r="J14" s="20" t="s">
        <v>20</v>
      </c>
      <c r="K14" s="18" t="s">
        <v>20</v>
      </c>
      <c r="L14" s="16">
        <f t="shared" si="16"/>
        <v>4</v>
      </c>
      <c r="M14" s="16">
        <v>4</v>
      </c>
      <c r="N14" s="16">
        <v>0</v>
      </c>
      <c r="O14" s="16">
        <v>0</v>
      </c>
      <c r="P14" s="21" t="s">
        <v>20</v>
      </c>
      <c r="Q14" s="21" t="s">
        <v>20</v>
      </c>
      <c r="R14" s="21" t="s">
        <v>20</v>
      </c>
      <c r="S14" s="22" t="s">
        <v>20</v>
      </c>
      <c r="T14" s="23" t="s">
        <v>20</v>
      </c>
      <c r="U14" s="6">
        <f t="shared" si="20"/>
        <v>33.33333333333333</v>
      </c>
      <c r="V14" s="6">
        <f aca="true" t="shared" si="22" ref="V14:V25">M14/D14*100</f>
        <v>33.33333333333333</v>
      </c>
      <c r="W14" s="6">
        <v>0</v>
      </c>
      <c r="X14" s="6">
        <v>0</v>
      </c>
      <c r="Y14" s="6">
        <v>0</v>
      </c>
      <c r="Z14" s="17"/>
      <c r="AA14" s="17"/>
      <c r="AB14" s="24"/>
      <c r="AC14" s="18" t="s">
        <v>20</v>
      </c>
      <c r="AD14" s="16">
        <f t="shared" si="17"/>
        <v>4</v>
      </c>
      <c r="AE14" s="16">
        <v>4</v>
      </c>
      <c r="AF14" s="16">
        <v>0</v>
      </c>
      <c r="AG14" s="16">
        <v>0</v>
      </c>
      <c r="AH14" s="21" t="s">
        <v>20</v>
      </c>
      <c r="AI14" s="21" t="s">
        <v>20</v>
      </c>
      <c r="AJ14" s="21" t="s">
        <v>20</v>
      </c>
      <c r="AK14" s="22" t="s">
        <v>20</v>
      </c>
      <c r="AL14" s="23" t="s">
        <v>20</v>
      </c>
      <c r="AM14" s="6">
        <f t="shared" si="3"/>
        <v>100</v>
      </c>
      <c r="AN14" s="6">
        <f t="shared" si="4"/>
        <v>100</v>
      </c>
      <c r="AO14" s="6"/>
      <c r="AP14" s="6">
        <v>0</v>
      </c>
      <c r="AQ14" s="6">
        <v>0</v>
      </c>
      <c r="AR14" s="17"/>
      <c r="AS14" s="17"/>
      <c r="AT14" s="24"/>
      <c r="AU14" s="18" t="s">
        <v>20</v>
      </c>
      <c r="AV14" s="16">
        <f t="shared" si="18"/>
        <v>6</v>
      </c>
      <c r="AW14" s="129">
        <v>6</v>
      </c>
      <c r="AX14" s="16">
        <v>0</v>
      </c>
      <c r="AY14" s="16">
        <v>0</v>
      </c>
      <c r="AZ14" s="21" t="s">
        <v>20</v>
      </c>
      <c r="BA14" s="21" t="s">
        <v>20</v>
      </c>
      <c r="BB14" s="21" t="s">
        <v>20</v>
      </c>
      <c r="BC14" s="22" t="s">
        <v>51</v>
      </c>
      <c r="BD14" s="69" t="e">
        <f t="shared" si="5"/>
        <v>#VALUE!</v>
      </c>
      <c r="BE14" s="11">
        <f t="shared" si="6"/>
        <v>150</v>
      </c>
      <c r="BF14" s="11">
        <f t="shared" si="7"/>
        <v>150</v>
      </c>
      <c r="BG14" s="11" t="e">
        <f t="shared" si="8"/>
        <v>#DIV/0!</v>
      </c>
      <c r="BH14" s="11" t="e">
        <f t="shared" si="9"/>
        <v>#DIV/0!</v>
      </c>
      <c r="BI14" s="11" t="e">
        <f t="shared" si="10"/>
        <v>#VALUE!</v>
      </c>
      <c r="BJ14" s="11" t="e">
        <f t="shared" si="11"/>
        <v>#VALUE!</v>
      </c>
      <c r="BK14" s="11" t="e">
        <f t="shared" si="12"/>
        <v>#VALUE!</v>
      </c>
      <c r="BL14" s="22" t="s">
        <v>51</v>
      </c>
      <c r="BM14" s="18" t="s">
        <v>20</v>
      </c>
      <c r="BN14" s="16">
        <f t="shared" si="19"/>
        <v>6</v>
      </c>
      <c r="BO14" s="129">
        <v>6</v>
      </c>
      <c r="BP14" s="16">
        <v>0</v>
      </c>
      <c r="BQ14" s="16">
        <v>0</v>
      </c>
      <c r="BR14" s="21" t="s">
        <v>20</v>
      </c>
      <c r="BS14" s="21" t="s">
        <v>20</v>
      </c>
      <c r="BT14" s="21" t="s">
        <v>20</v>
      </c>
      <c r="BU14" s="22" t="s">
        <v>51</v>
      </c>
      <c r="BV14" s="226"/>
      <c r="BW14" s="227">
        <f t="shared" si="13"/>
        <v>100</v>
      </c>
      <c r="BX14" s="229">
        <f aca="true" t="shared" si="23" ref="BX14:BX23">BO14/AW14*100</f>
        <v>100</v>
      </c>
      <c r="BY14" s="229"/>
      <c r="BZ14" s="229"/>
      <c r="CA14" s="227"/>
      <c r="CB14" s="227" t="e">
        <f t="shared" si="14"/>
        <v>#VALUE!</v>
      </c>
      <c r="CC14" s="227" t="e">
        <f t="shared" si="15"/>
        <v>#VALUE!</v>
      </c>
      <c r="CD14" s="228" t="s">
        <v>51</v>
      </c>
    </row>
    <row r="15" spans="1:82" ht="54" customHeight="1">
      <c r="A15" s="15" t="s">
        <v>38</v>
      </c>
      <c r="B15" s="18" t="s">
        <v>20</v>
      </c>
      <c r="C15" s="16">
        <f t="shared" si="2"/>
        <v>162</v>
      </c>
      <c r="D15" s="16">
        <v>3</v>
      </c>
      <c r="E15" s="16">
        <v>159</v>
      </c>
      <c r="F15" s="16">
        <v>0</v>
      </c>
      <c r="G15" s="19" t="s">
        <v>20</v>
      </c>
      <c r="H15" s="19" t="s">
        <v>20</v>
      </c>
      <c r="I15" s="19" t="s">
        <v>20</v>
      </c>
      <c r="J15" s="20" t="s">
        <v>20</v>
      </c>
      <c r="K15" s="18" t="s">
        <v>20</v>
      </c>
      <c r="L15" s="16">
        <f t="shared" si="16"/>
        <v>100</v>
      </c>
      <c r="M15" s="16">
        <v>2</v>
      </c>
      <c r="N15" s="16">
        <v>98</v>
      </c>
      <c r="O15" s="16">
        <v>0</v>
      </c>
      <c r="P15" s="21" t="s">
        <v>20</v>
      </c>
      <c r="Q15" s="21" t="s">
        <v>20</v>
      </c>
      <c r="R15" s="21" t="s">
        <v>20</v>
      </c>
      <c r="S15" s="22" t="s">
        <v>20</v>
      </c>
      <c r="T15" s="23" t="s">
        <v>20</v>
      </c>
      <c r="U15" s="6">
        <f t="shared" si="20"/>
        <v>61.72839506172839</v>
      </c>
      <c r="V15" s="6">
        <f t="shared" si="22"/>
        <v>66.66666666666666</v>
      </c>
      <c r="W15" s="6">
        <f>N15/E15*100</f>
        <v>61.63522012578616</v>
      </c>
      <c r="X15" s="6">
        <v>0</v>
      </c>
      <c r="Y15" s="6">
        <v>0</v>
      </c>
      <c r="Z15" s="17"/>
      <c r="AA15" s="17"/>
      <c r="AB15" s="24"/>
      <c r="AC15" s="18" t="s">
        <v>20</v>
      </c>
      <c r="AD15" s="16">
        <f t="shared" si="17"/>
        <v>100</v>
      </c>
      <c r="AE15" s="16">
        <v>3</v>
      </c>
      <c r="AF15" s="16">
        <v>97</v>
      </c>
      <c r="AG15" s="16">
        <v>0</v>
      </c>
      <c r="AH15" s="21" t="s">
        <v>20</v>
      </c>
      <c r="AI15" s="21" t="s">
        <v>20</v>
      </c>
      <c r="AJ15" s="21" t="s">
        <v>20</v>
      </c>
      <c r="AK15" s="22" t="s">
        <v>20</v>
      </c>
      <c r="AL15" s="23" t="s">
        <v>20</v>
      </c>
      <c r="AM15" s="6">
        <f t="shared" si="3"/>
        <v>100</v>
      </c>
      <c r="AN15" s="6">
        <f t="shared" si="4"/>
        <v>150</v>
      </c>
      <c r="AO15" s="6">
        <f t="shared" si="21"/>
        <v>98.9795918367347</v>
      </c>
      <c r="AP15" s="6">
        <v>0</v>
      </c>
      <c r="AQ15" s="6">
        <v>0</v>
      </c>
      <c r="AR15" s="17"/>
      <c r="AS15" s="17"/>
      <c r="AT15" s="24"/>
      <c r="AU15" s="18" t="s">
        <v>20</v>
      </c>
      <c r="AV15" s="16">
        <f t="shared" si="18"/>
        <v>79</v>
      </c>
      <c r="AW15" s="129">
        <v>4</v>
      </c>
      <c r="AX15" s="16">
        <v>75</v>
      </c>
      <c r="AY15" s="16">
        <v>0</v>
      </c>
      <c r="AZ15" s="21" t="s">
        <v>20</v>
      </c>
      <c r="BA15" s="21" t="s">
        <v>20</v>
      </c>
      <c r="BB15" s="21" t="s">
        <v>20</v>
      </c>
      <c r="BC15" s="22" t="s">
        <v>51</v>
      </c>
      <c r="BD15" s="69" t="e">
        <f t="shared" si="5"/>
        <v>#VALUE!</v>
      </c>
      <c r="BE15" s="11">
        <f t="shared" si="6"/>
        <v>79</v>
      </c>
      <c r="BF15" s="11">
        <f t="shared" si="7"/>
        <v>133.33333333333331</v>
      </c>
      <c r="BG15" s="11">
        <f t="shared" si="8"/>
        <v>77.31958762886599</v>
      </c>
      <c r="BH15" s="11" t="e">
        <f t="shared" si="9"/>
        <v>#DIV/0!</v>
      </c>
      <c r="BI15" s="11" t="e">
        <f t="shared" si="10"/>
        <v>#VALUE!</v>
      </c>
      <c r="BJ15" s="11" t="e">
        <f t="shared" si="11"/>
        <v>#VALUE!</v>
      </c>
      <c r="BK15" s="11" t="e">
        <f t="shared" si="12"/>
        <v>#VALUE!</v>
      </c>
      <c r="BL15" s="22" t="s">
        <v>51</v>
      </c>
      <c r="BM15" s="18" t="s">
        <v>20</v>
      </c>
      <c r="BN15" s="16">
        <v>6</v>
      </c>
      <c r="BO15" s="129">
        <v>4</v>
      </c>
      <c r="BP15" s="16">
        <v>37</v>
      </c>
      <c r="BQ15" s="16">
        <v>0</v>
      </c>
      <c r="BR15" s="21" t="s">
        <v>20</v>
      </c>
      <c r="BS15" s="21" t="s">
        <v>20</v>
      </c>
      <c r="BT15" s="21" t="s">
        <v>20</v>
      </c>
      <c r="BU15" s="22" t="s">
        <v>51</v>
      </c>
      <c r="BV15" s="226"/>
      <c r="BW15" s="227">
        <f t="shared" si="13"/>
        <v>7.59493670886076</v>
      </c>
      <c r="BX15" s="229">
        <f t="shared" si="23"/>
        <v>100</v>
      </c>
      <c r="BY15" s="229">
        <f>BP15/AX15*100</f>
        <v>49.333333333333336</v>
      </c>
      <c r="BZ15" s="229"/>
      <c r="CA15" s="227"/>
      <c r="CB15" s="227" t="e">
        <f t="shared" si="14"/>
        <v>#VALUE!</v>
      </c>
      <c r="CC15" s="227" t="e">
        <f t="shared" si="15"/>
        <v>#VALUE!</v>
      </c>
      <c r="CD15" s="228" t="s">
        <v>51</v>
      </c>
    </row>
    <row r="16" spans="1:82" ht="10.5">
      <c r="A16" s="56" t="s">
        <v>14</v>
      </c>
      <c r="B16" s="18" t="s">
        <v>20</v>
      </c>
      <c r="C16" s="16">
        <f t="shared" si="2"/>
        <v>161</v>
      </c>
      <c r="D16" s="16">
        <v>99</v>
      </c>
      <c r="E16" s="16">
        <v>62</v>
      </c>
      <c r="F16" s="16">
        <v>0</v>
      </c>
      <c r="G16" s="19" t="s">
        <v>20</v>
      </c>
      <c r="H16" s="19" t="s">
        <v>20</v>
      </c>
      <c r="I16" s="19" t="s">
        <v>20</v>
      </c>
      <c r="J16" s="20" t="s">
        <v>20</v>
      </c>
      <c r="K16" s="18" t="s">
        <v>20</v>
      </c>
      <c r="L16" s="16">
        <f t="shared" si="16"/>
        <v>158</v>
      </c>
      <c r="M16" s="16">
        <v>32</v>
      </c>
      <c r="N16" s="16">
        <v>126</v>
      </c>
      <c r="O16" s="16">
        <v>0</v>
      </c>
      <c r="P16" s="21" t="s">
        <v>20</v>
      </c>
      <c r="Q16" s="21" t="s">
        <v>20</v>
      </c>
      <c r="R16" s="21" t="s">
        <v>20</v>
      </c>
      <c r="S16" s="22" t="s">
        <v>20</v>
      </c>
      <c r="T16" s="23" t="s">
        <v>20</v>
      </c>
      <c r="U16" s="6">
        <f t="shared" si="20"/>
        <v>98.13664596273291</v>
      </c>
      <c r="V16" s="6">
        <f t="shared" si="22"/>
        <v>32.323232323232325</v>
      </c>
      <c r="W16" s="6">
        <f>N16/E16*100</f>
        <v>203.2258064516129</v>
      </c>
      <c r="X16" s="6">
        <v>0</v>
      </c>
      <c r="Y16" s="6">
        <v>0</v>
      </c>
      <c r="Z16" s="17"/>
      <c r="AA16" s="17"/>
      <c r="AB16" s="24"/>
      <c r="AC16" s="18" t="s">
        <v>20</v>
      </c>
      <c r="AD16" s="16">
        <f t="shared" si="17"/>
        <v>136</v>
      </c>
      <c r="AE16" s="16">
        <v>15</v>
      </c>
      <c r="AF16" s="16">
        <v>121</v>
      </c>
      <c r="AG16" s="16">
        <v>0</v>
      </c>
      <c r="AH16" s="21" t="s">
        <v>20</v>
      </c>
      <c r="AI16" s="21" t="s">
        <v>20</v>
      </c>
      <c r="AJ16" s="21" t="s">
        <v>20</v>
      </c>
      <c r="AK16" s="22" t="s">
        <v>20</v>
      </c>
      <c r="AL16" s="23" t="s">
        <v>20</v>
      </c>
      <c r="AM16" s="6">
        <f t="shared" si="3"/>
        <v>86.07594936708861</v>
      </c>
      <c r="AN16" s="6">
        <f t="shared" si="4"/>
        <v>46.875</v>
      </c>
      <c r="AO16" s="6">
        <f t="shared" si="21"/>
        <v>96.03174603174604</v>
      </c>
      <c r="AP16" s="6">
        <v>0</v>
      </c>
      <c r="AQ16" s="6">
        <v>0</v>
      </c>
      <c r="AR16" s="17"/>
      <c r="AS16" s="17"/>
      <c r="AT16" s="24"/>
      <c r="AU16" s="18" t="s">
        <v>20</v>
      </c>
      <c r="AV16" s="16">
        <f t="shared" si="18"/>
        <v>132</v>
      </c>
      <c r="AW16" s="129">
        <v>18</v>
      </c>
      <c r="AX16" s="16">
        <v>114</v>
      </c>
      <c r="AY16" s="16">
        <v>0</v>
      </c>
      <c r="AZ16" s="21" t="s">
        <v>20</v>
      </c>
      <c r="BA16" s="21" t="s">
        <v>20</v>
      </c>
      <c r="BB16" s="21" t="s">
        <v>20</v>
      </c>
      <c r="BC16" s="22" t="s">
        <v>51</v>
      </c>
      <c r="BD16" s="69" t="e">
        <f t="shared" si="5"/>
        <v>#VALUE!</v>
      </c>
      <c r="BE16" s="11">
        <f t="shared" si="6"/>
        <v>97.05882352941177</v>
      </c>
      <c r="BF16" s="11">
        <f t="shared" si="7"/>
        <v>120</v>
      </c>
      <c r="BG16" s="11">
        <f t="shared" si="8"/>
        <v>94.21487603305785</v>
      </c>
      <c r="BH16" s="11" t="e">
        <f t="shared" si="9"/>
        <v>#DIV/0!</v>
      </c>
      <c r="BI16" s="11" t="e">
        <f t="shared" si="10"/>
        <v>#VALUE!</v>
      </c>
      <c r="BJ16" s="11" t="e">
        <f t="shared" si="11"/>
        <v>#VALUE!</v>
      </c>
      <c r="BK16" s="11" t="e">
        <f t="shared" si="12"/>
        <v>#VALUE!</v>
      </c>
      <c r="BL16" s="22" t="s">
        <v>51</v>
      </c>
      <c r="BM16" s="18" t="s">
        <v>20</v>
      </c>
      <c r="BN16" s="16">
        <f t="shared" si="19"/>
        <v>135</v>
      </c>
      <c r="BO16" s="129">
        <v>28</v>
      </c>
      <c r="BP16" s="16">
        <v>107</v>
      </c>
      <c r="BQ16" s="16">
        <v>0</v>
      </c>
      <c r="BR16" s="21" t="s">
        <v>20</v>
      </c>
      <c r="BS16" s="21" t="s">
        <v>20</v>
      </c>
      <c r="BT16" s="21" t="s">
        <v>20</v>
      </c>
      <c r="BU16" s="22" t="s">
        <v>51</v>
      </c>
      <c r="BV16" s="226"/>
      <c r="BW16" s="227">
        <f t="shared" si="13"/>
        <v>102.27272727272727</v>
      </c>
      <c r="BX16" s="229">
        <f t="shared" si="23"/>
        <v>155.55555555555557</v>
      </c>
      <c r="BY16" s="229">
        <f>BP16/AX16*100</f>
        <v>93.85964912280701</v>
      </c>
      <c r="BZ16" s="229"/>
      <c r="CA16" s="227"/>
      <c r="CB16" s="227" t="e">
        <f t="shared" si="14"/>
        <v>#VALUE!</v>
      </c>
      <c r="CC16" s="227" t="e">
        <f t="shared" si="15"/>
        <v>#VALUE!</v>
      </c>
      <c r="CD16" s="228" t="s">
        <v>51</v>
      </c>
    </row>
    <row r="17" spans="1:82" ht="31.5" customHeight="1">
      <c r="A17" s="15" t="s">
        <v>22</v>
      </c>
      <c r="B17" s="18" t="s">
        <v>20</v>
      </c>
      <c r="C17" s="16">
        <f t="shared" si="2"/>
        <v>317</v>
      </c>
      <c r="D17" s="16">
        <v>195</v>
      </c>
      <c r="E17" s="16">
        <v>122</v>
      </c>
      <c r="F17" s="16">
        <v>0</v>
      </c>
      <c r="G17" s="19" t="s">
        <v>20</v>
      </c>
      <c r="H17" s="19" t="s">
        <v>20</v>
      </c>
      <c r="I17" s="19" t="s">
        <v>20</v>
      </c>
      <c r="J17" s="20" t="s">
        <v>20</v>
      </c>
      <c r="K17" s="18" t="s">
        <v>20</v>
      </c>
      <c r="L17" s="16">
        <f t="shared" si="16"/>
        <v>313</v>
      </c>
      <c r="M17" s="16">
        <v>210</v>
      </c>
      <c r="N17" s="16">
        <v>103</v>
      </c>
      <c r="O17" s="16">
        <v>0</v>
      </c>
      <c r="P17" s="21" t="s">
        <v>20</v>
      </c>
      <c r="Q17" s="21" t="s">
        <v>20</v>
      </c>
      <c r="R17" s="21" t="s">
        <v>20</v>
      </c>
      <c r="S17" s="22" t="s">
        <v>20</v>
      </c>
      <c r="T17" s="23" t="s">
        <v>20</v>
      </c>
      <c r="U17" s="6">
        <f t="shared" si="20"/>
        <v>98.73817034700315</v>
      </c>
      <c r="V17" s="6">
        <f t="shared" si="22"/>
        <v>107.6923076923077</v>
      </c>
      <c r="W17" s="6">
        <f>N17/E17*100</f>
        <v>84.42622950819673</v>
      </c>
      <c r="X17" s="6">
        <v>0</v>
      </c>
      <c r="Y17" s="6">
        <v>0</v>
      </c>
      <c r="Z17" s="17"/>
      <c r="AA17" s="17"/>
      <c r="AB17" s="24"/>
      <c r="AC17" s="18" t="s">
        <v>20</v>
      </c>
      <c r="AD17" s="16">
        <f t="shared" si="17"/>
        <v>350</v>
      </c>
      <c r="AE17" s="16">
        <v>230</v>
      </c>
      <c r="AF17" s="16">
        <v>120</v>
      </c>
      <c r="AG17" s="16">
        <v>0</v>
      </c>
      <c r="AH17" s="21" t="s">
        <v>20</v>
      </c>
      <c r="AI17" s="21" t="s">
        <v>20</v>
      </c>
      <c r="AJ17" s="21" t="s">
        <v>20</v>
      </c>
      <c r="AK17" s="22" t="s">
        <v>20</v>
      </c>
      <c r="AL17" s="23" t="s">
        <v>20</v>
      </c>
      <c r="AM17" s="6">
        <f t="shared" si="3"/>
        <v>111.82108626198084</v>
      </c>
      <c r="AN17" s="6">
        <f t="shared" si="4"/>
        <v>109.52380952380953</v>
      </c>
      <c r="AO17" s="6">
        <f t="shared" si="21"/>
        <v>116.50485436893203</v>
      </c>
      <c r="AP17" s="6">
        <v>0</v>
      </c>
      <c r="AQ17" s="6">
        <v>0</v>
      </c>
      <c r="AR17" s="17"/>
      <c r="AS17" s="17"/>
      <c r="AT17" s="24"/>
      <c r="AU17" s="18" t="s">
        <v>20</v>
      </c>
      <c r="AV17" s="16">
        <f t="shared" si="18"/>
        <v>317</v>
      </c>
      <c r="AW17" s="129">
        <v>228</v>
      </c>
      <c r="AX17" s="16">
        <v>89</v>
      </c>
      <c r="AY17" s="16">
        <v>0</v>
      </c>
      <c r="AZ17" s="21" t="s">
        <v>20</v>
      </c>
      <c r="BA17" s="21" t="s">
        <v>20</v>
      </c>
      <c r="BB17" s="21" t="s">
        <v>20</v>
      </c>
      <c r="BC17" s="22" t="s">
        <v>51</v>
      </c>
      <c r="BD17" s="69" t="e">
        <f t="shared" si="5"/>
        <v>#VALUE!</v>
      </c>
      <c r="BE17" s="11">
        <f t="shared" si="6"/>
        <v>90.57142857142857</v>
      </c>
      <c r="BF17" s="11">
        <f t="shared" si="7"/>
        <v>99.1304347826087</v>
      </c>
      <c r="BG17" s="11">
        <f t="shared" si="8"/>
        <v>74.16666666666667</v>
      </c>
      <c r="BH17" s="11" t="e">
        <f t="shared" si="9"/>
        <v>#DIV/0!</v>
      </c>
      <c r="BI17" s="11" t="e">
        <f t="shared" si="10"/>
        <v>#VALUE!</v>
      </c>
      <c r="BJ17" s="11" t="e">
        <f t="shared" si="11"/>
        <v>#VALUE!</v>
      </c>
      <c r="BK17" s="11" t="e">
        <f t="shared" si="12"/>
        <v>#VALUE!</v>
      </c>
      <c r="BL17" s="22" t="s">
        <v>51</v>
      </c>
      <c r="BM17" s="18" t="s">
        <v>20</v>
      </c>
      <c r="BN17" s="16">
        <f t="shared" si="19"/>
        <v>324</v>
      </c>
      <c r="BO17" s="129">
        <v>218</v>
      </c>
      <c r="BP17" s="16">
        <v>106</v>
      </c>
      <c r="BQ17" s="16">
        <v>0</v>
      </c>
      <c r="BR17" s="21" t="s">
        <v>20</v>
      </c>
      <c r="BS17" s="21" t="s">
        <v>20</v>
      </c>
      <c r="BT17" s="21" t="s">
        <v>20</v>
      </c>
      <c r="BU17" s="22" t="s">
        <v>51</v>
      </c>
      <c r="BV17" s="226"/>
      <c r="BW17" s="227">
        <f t="shared" si="13"/>
        <v>102.20820189274448</v>
      </c>
      <c r="BX17" s="229">
        <f t="shared" si="23"/>
        <v>95.6140350877193</v>
      </c>
      <c r="BY17" s="229">
        <f>BP17/AX17*100</f>
        <v>119.10112359550563</v>
      </c>
      <c r="BZ17" s="229"/>
      <c r="CA17" s="227"/>
      <c r="CB17" s="227" t="e">
        <f t="shared" si="14"/>
        <v>#VALUE!</v>
      </c>
      <c r="CC17" s="227" t="e">
        <f t="shared" si="15"/>
        <v>#VALUE!</v>
      </c>
      <c r="CD17" s="228" t="s">
        <v>51</v>
      </c>
    </row>
    <row r="18" spans="1:82" ht="12" customHeight="1">
      <c r="A18" s="15" t="s">
        <v>27</v>
      </c>
      <c r="B18" s="18" t="s">
        <v>20</v>
      </c>
      <c r="C18" s="16">
        <f t="shared" si="2"/>
        <v>55</v>
      </c>
      <c r="D18" s="16">
        <v>55</v>
      </c>
      <c r="E18" s="16">
        <v>0</v>
      </c>
      <c r="F18" s="16">
        <v>0</v>
      </c>
      <c r="G18" s="19" t="s">
        <v>20</v>
      </c>
      <c r="H18" s="19" t="s">
        <v>20</v>
      </c>
      <c r="I18" s="19" t="s">
        <v>20</v>
      </c>
      <c r="J18" s="20" t="s">
        <v>20</v>
      </c>
      <c r="K18" s="18" t="s">
        <v>20</v>
      </c>
      <c r="L18" s="16">
        <f t="shared" si="16"/>
        <v>52</v>
      </c>
      <c r="M18" s="16">
        <v>52</v>
      </c>
      <c r="N18" s="16">
        <v>0</v>
      </c>
      <c r="O18" s="16">
        <v>0</v>
      </c>
      <c r="P18" s="21" t="s">
        <v>20</v>
      </c>
      <c r="Q18" s="21" t="s">
        <v>20</v>
      </c>
      <c r="R18" s="21" t="s">
        <v>20</v>
      </c>
      <c r="S18" s="22" t="s">
        <v>20</v>
      </c>
      <c r="T18" s="23" t="s">
        <v>20</v>
      </c>
      <c r="U18" s="6">
        <f t="shared" si="20"/>
        <v>94.54545454545455</v>
      </c>
      <c r="V18" s="6">
        <f t="shared" si="22"/>
        <v>94.54545454545455</v>
      </c>
      <c r="W18" s="6">
        <v>0</v>
      </c>
      <c r="X18" s="6">
        <v>0</v>
      </c>
      <c r="Y18" s="6">
        <v>0</v>
      </c>
      <c r="Z18" s="17"/>
      <c r="AA18" s="17"/>
      <c r="AB18" s="24"/>
      <c r="AC18" s="18" t="s">
        <v>20</v>
      </c>
      <c r="AD18" s="16">
        <f t="shared" si="17"/>
        <v>68</v>
      </c>
      <c r="AE18" s="16">
        <v>68</v>
      </c>
      <c r="AF18" s="16">
        <v>0</v>
      </c>
      <c r="AG18" s="16">
        <v>0</v>
      </c>
      <c r="AH18" s="21" t="s">
        <v>20</v>
      </c>
      <c r="AI18" s="21" t="s">
        <v>20</v>
      </c>
      <c r="AJ18" s="21" t="s">
        <v>20</v>
      </c>
      <c r="AK18" s="22" t="s">
        <v>20</v>
      </c>
      <c r="AL18" s="23" t="s">
        <v>20</v>
      </c>
      <c r="AM18" s="6">
        <f t="shared" si="3"/>
        <v>130.76923076923077</v>
      </c>
      <c r="AN18" s="6">
        <f t="shared" si="4"/>
        <v>130.76923076923077</v>
      </c>
      <c r="AO18" s="6"/>
      <c r="AP18" s="6">
        <v>0</v>
      </c>
      <c r="AQ18" s="6">
        <v>0</v>
      </c>
      <c r="AR18" s="17"/>
      <c r="AS18" s="17"/>
      <c r="AT18" s="24"/>
      <c r="AU18" s="18" t="s">
        <v>20</v>
      </c>
      <c r="AV18" s="16">
        <f t="shared" si="18"/>
        <v>84</v>
      </c>
      <c r="AW18" s="129">
        <v>84</v>
      </c>
      <c r="AX18" s="16">
        <v>0</v>
      </c>
      <c r="AY18" s="16">
        <v>0</v>
      </c>
      <c r="AZ18" s="21" t="s">
        <v>20</v>
      </c>
      <c r="BA18" s="21" t="s">
        <v>20</v>
      </c>
      <c r="BB18" s="21" t="s">
        <v>20</v>
      </c>
      <c r="BC18" s="22" t="s">
        <v>51</v>
      </c>
      <c r="BD18" s="69" t="e">
        <f t="shared" si="5"/>
        <v>#VALUE!</v>
      </c>
      <c r="BE18" s="11">
        <f t="shared" si="6"/>
        <v>123.52941176470588</v>
      </c>
      <c r="BF18" s="11">
        <f t="shared" si="7"/>
        <v>123.52941176470588</v>
      </c>
      <c r="BG18" s="11" t="e">
        <f t="shared" si="8"/>
        <v>#DIV/0!</v>
      </c>
      <c r="BH18" s="11" t="e">
        <f t="shared" si="9"/>
        <v>#DIV/0!</v>
      </c>
      <c r="BI18" s="11" t="e">
        <f t="shared" si="10"/>
        <v>#VALUE!</v>
      </c>
      <c r="BJ18" s="11" t="e">
        <f t="shared" si="11"/>
        <v>#VALUE!</v>
      </c>
      <c r="BK18" s="11" t="e">
        <f t="shared" si="12"/>
        <v>#VALUE!</v>
      </c>
      <c r="BL18" s="22" t="s">
        <v>51</v>
      </c>
      <c r="BM18" s="18" t="s">
        <v>20</v>
      </c>
      <c r="BN18" s="16">
        <f t="shared" si="19"/>
        <v>81</v>
      </c>
      <c r="BO18" s="129">
        <v>81</v>
      </c>
      <c r="BP18" s="16">
        <v>0</v>
      </c>
      <c r="BQ18" s="16">
        <v>0</v>
      </c>
      <c r="BR18" s="21" t="s">
        <v>20</v>
      </c>
      <c r="BS18" s="21" t="s">
        <v>20</v>
      </c>
      <c r="BT18" s="21" t="s">
        <v>20</v>
      </c>
      <c r="BU18" s="22" t="s">
        <v>51</v>
      </c>
      <c r="BV18" s="226"/>
      <c r="BW18" s="227">
        <f t="shared" si="13"/>
        <v>96.42857142857143</v>
      </c>
      <c r="BX18" s="229">
        <f t="shared" si="23"/>
        <v>96.42857142857143</v>
      </c>
      <c r="BY18" s="229"/>
      <c r="BZ18" s="229"/>
      <c r="CA18" s="227"/>
      <c r="CB18" s="227" t="e">
        <f t="shared" si="14"/>
        <v>#VALUE!</v>
      </c>
      <c r="CC18" s="227" t="e">
        <f t="shared" si="15"/>
        <v>#VALUE!</v>
      </c>
      <c r="CD18" s="228" t="s">
        <v>51</v>
      </c>
    </row>
    <row r="19" spans="1:82" ht="10.5">
      <c r="A19" s="28" t="s">
        <v>23</v>
      </c>
      <c r="B19" s="18" t="s">
        <v>20</v>
      </c>
      <c r="C19" s="16">
        <f t="shared" si="2"/>
        <v>84</v>
      </c>
      <c r="D19" s="16">
        <v>27</v>
      </c>
      <c r="E19" s="16">
        <v>57</v>
      </c>
      <c r="F19" s="16">
        <v>0</v>
      </c>
      <c r="G19" s="19" t="s">
        <v>20</v>
      </c>
      <c r="H19" s="19" t="s">
        <v>20</v>
      </c>
      <c r="I19" s="19" t="s">
        <v>20</v>
      </c>
      <c r="J19" s="20" t="s">
        <v>20</v>
      </c>
      <c r="K19" s="18" t="s">
        <v>20</v>
      </c>
      <c r="L19" s="16">
        <f t="shared" si="16"/>
        <v>65</v>
      </c>
      <c r="M19" s="16">
        <v>33</v>
      </c>
      <c r="N19" s="16">
        <v>32</v>
      </c>
      <c r="O19" s="16">
        <v>0</v>
      </c>
      <c r="P19" s="21" t="s">
        <v>20</v>
      </c>
      <c r="Q19" s="21" t="s">
        <v>20</v>
      </c>
      <c r="R19" s="21" t="s">
        <v>20</v>
      </c>
      <c r="S19" s="22" t="s">
        <v>20</v>
      </c>
      <c r="T19" s="23" t="s">
        <v>20</v>
      </c>
      <c r="U19" s="6">
        <f t="shared" si="20"/>
        <v>77.38095238095238</v>
      </c>
      <c r="V19" s="6">
        <f t="shared" si="22"/>
        <v>122.22222222222223</v>
      </c>
      <c r="W19" s="6">
        <f>N19/E19*100</f>
        <v>56.14035087719298</v>
      </c>
      <c r="X19" s="6">
        <v>0</v>
      </c>
      <c r="Y19" s="6">
        <v>0</v>
      </c>
      <c r="Z19" s="17"/>
      <c r="AA19" s="17"/>
      <c r="AB19" s="24"/>
      <c r="AC19" s="18" t="s">
        <v>20</v>
      </c>
      <c r="AD19" s="16">
        <f t="shared" si="17"/>
        <v>66</v>
      </c>
      <c r="AE19" s="16">
        <v>56</v>
      </c>
      <c r="AF19" s="16">
        <v>10</v>
      </c>
      <c r="AG19" s="16">
        <v>0</v>
      </c>
      <c r="AH19" s="21" t="s">
        <v>20</v>
      </c>
      <c r="AI19" s="21" t="s">
        <v>20</v>
      </c>
      <c r="AJ19" s="21" t="s">
        <v>20</v>
      </c>
      <c r="AK19" s="22" t="s">
        <v>20</v>
      </c>
      <c r="AL19" s="23" t="s">
        <v>20</v>
      </c>
      <c r="AM19" s="6">
        <f t="shared" si="3"/>
        <v>101.53846153846153</v>
      </c>
      <c r="AN19" s="6">
        <f t="shared" si="4"/>
        <v>169.6969696969697</v>
      </c>
      <c r="AO19" s="6">
        <f t="shared" si="21"/>
        <v>31.25</v>
      </c>
      <c r="AP19" s="6">
        <v>0</v>
      </c>
      <c r="AQ19" s="6">
        <v>0</v>
      </c>
      <c r="AR19" s="17"/>
      <c r="AS19" s="17"/>
      <c r="AT19" s="24"/>
      <c r="AU19" s="18" t="s">
        <v>20</v>
      </c>
      <c r="AV19" s="16">
        <f t="shared" si="18"/>
        <v>66</v>
      </c>
      <c r="AW19" s="129">
        <v>60</v>
      </c>
      <c r="AX19" s="16">
        <v>6</v>
      </c>
      <c r="AY19" s="16">
        <v>0</v>
      </c>
      <c r="AZ19" s="21" t="s">
        <v>20</v>
      </c>
      <c r="BA19" s="21" t="s">
        <v>20</v>
      </c>
      <c r="BB19" s="21" t="s">
        <v>20</v>
      </c>
      <c r="BC19" s="22" t="s">
        <v>51</v>
      </c>
      <c r="BD19" s="69" t="e">
        <f t="shared" si="5"/>
        <v>#VALUE!</v>
      </c>
      <c r="BE19" s="11">
        <f t="shared" si="6"/>
        <v>100</v>
      </c>
      <c r="BF19" s="11">
        <f t="shared" si="7"/>
        <v>107.14285714285714</v>
      </c>
      <c r="BG19" s="11">
        <f t="shared" si="8"/>
        <v>60</v>
      </c>
      <c r="BH19" s="11" t="e">
        <f t="shared" si="9"/>
        <v>#DIV/0!</v>
      </c>
      <c r="BI19" s="11" t="e">
        <f t="shared" si="10"/>
        <v>#VALUE!</v>
      </c>
      <c r="BJ19" s="11" t="e">
        <f t="shared" si="11"/>
        <v>#VALUE!</v>
      </c>
      <c r="BK19" s="11" t="e">
        <f t="shared" si="12"/>
        <v>#VALUE!</v>
      </c>
      <c r="BL19" s="22" t="s">
        <v>51</v>
      </c>
      <c r="BM19" s="18" t="s">
        <v>20</v>
      </c>
      <c r="BN19" s="16">
        <f t="shared" si="19"/>
        <v>66</v>
      </c>
      <c r="BO19" s="129">
        <v>16</v>
      </c>
      <c r="BP19" s="16">
        <v>50</v>
      </c>
      <c r="BQ19" s="16">
        <v>0</v>
      </c>
      <c r="BR19" s="21" t="s">
        <v>20</v>
      </c>
      <c r="BS19" s="21" t="s">
        <v>20</v>
      </c>
      <c r="BT19" s="21" t="s">
        <v>20</v>
      </c>
      <c r="BU19" s="22" t="s">
        <v>51</v>
      </c>
      <c r="BV19" s="226"/>
      <c r="BW19" s="227">
        <f t="shared" si="13"/>
        <v>100</v>
      </c>
      <c r="BX19" s="229">
        <f t="shared" si="23"/>
        <v>26.666666666666668</v>
      </c>
      <c r="BY19" s="229">
        <f>BP19/AX19*100</f>
        <v>833.3333333333334</v>
      </c>
      <c r="BZ19" s="229"/>
      <c r="CA19" s="227"/>
      <c r="CB19" s="227" t="e">
        <f t="shared" si="14"/>
        <v>#VALUE!</v>
      </c>
      <c r="CC19" s="227" t="e">
        <f t="shared" si="15"/>
        <v>#VALUE!</v>
      </c>
      <c r="CD19" s="228" t="s">
        <v>51</v>
      </c>
    </row>
    <row r="20" spans="1:82" ht="10.5">
      <c r="A20" s="28" t="s">
        <v>24</v>
      </c>
      <c r="B20" s="18" t="s">
        <v>20</v>
      </c>
      <c r="C20" s="16">
        <f t="shared" si="2"/>
        <v>5</v>
      </c>
      <c r="D20" s="16">
        <v>5</v>
      </c>
      <c r="E20" s="16">
        <v>0</v>
      </c>
      <c r="F20" s="16">
        <v>0</v>
      </c>
      <c r="G20" s="19" t="s">
        <v>20</v>
      </c>
      <c r="H20" s="19" t="s">
        <v>20</v>
      </c>
      <c r="I20" s="19" t="s">
        <v>20</v>
      </c>
      <c r="J20" s="20" t="s">
        <v>20</v>
      </c>
      <c r="K20" s="18" t="s">
        <v>20</v>
      </c>
      <c r="L20" s="16">
        <f t="shared" si="16"/>
        <v>5</v>
      </c>
      <c r="M20" s="16">
        <v>5</v>
      </c>
      <c r="N20" s="16">
        <v>0</v>
      </c>
      <c r="O20" s="16">
        <v>0</v>
      </c>
      <c r="P20" s="21" t="s">
        <v>20</v>
      </c>
      <c r="Q20" s="21" t="s">
        <v>20</v>
      </c>
      <c r="R20" s="21" t="s">
        <v>20</v>
      </c>
      <c r="S20" s="22" t="s">
        <v>20</v>
      </c>
      <c r="T20" s="23" t="s">
        <v>20</v>
      </c>
      <c r="U20" s="6">
        <f t="shared" si="20"/>
        <v>100</v>
      </c>
      <c r="V20" s="6">
        <f t="shared" si="22"/>
        <v>100</v>
      </c>
      <c r="W20" s="6">
        <v>0</v>
      </c>
      <c r="X20" s="6">
        <v>0</v>
      </c>
      <c r="Y20" s="6">
        <v>0</v>
      </c>
      <c r="Z20" s="17"/>
      <c r="AA20" s="17"/>
      <c r="AB20" s="24"/>
      <c r="AC20" s="18" t="s">
        <v>20</v>
      </c>
      <c r="AD20" s="16">
        <f t="shared" si="17"/>
        <v>2</v>
      </c>
      <c r="AE20" s="16">
        <v>2</v>
      </c>
      <c r="AF20" s="16">
        <v>0</v>
      </c>
      <c r="AG20" s="16">
        <v>0</v>
      </c>
      <c r="AH20" s="21" t="s">
        <v>20</v>
      </c>
      <c r="AI20" s="21" t="s">
        <v>20</v>
      </c>
      <c r="AJ20" s="21" t="s">
        <v>20</v>
      </c>
      <c r="AK20" s="22" t="s">
        <v>20</v>
      </c>
      <c r="AL20" s="23" t="s">
        <v>20</v>
      </c>
      <c r="AM20" s="6">
        <f t="shared" si="3"/>
        <v>40</v>
      </c>
      <c r="AN20" s="6">
        <f t="shared" si="4"/>
        <v>40</v>
      </c>
      <c r="AO20" s="6"/>
      <c r="AP20" s="6">
        <v>0</v>
      </c>
      <c r="AQ20" s="6">
        <v>0</v>
      </c>
      <c r="AR20" s="17"/>
      <c r="AS20" s="17"/>
      <c r="AT20" s="24"/>
      <c r="AU20" s="18" t="s">
        <v>20</v>
      </c>
      <c r="AV20" s="16">
        <f t="shared" si="18"/>
        <v>5</v>
      </c>
      <c r="AW20" s="129">
        <v>5</v>
      </c>
      <c r="AX20" s="16">
        <v>0</v>
      </c>
      <c r="AY20" s="16">
        <v>0</v>
      </c>
      <c r="AZ20" s="21" t="s">
        <v>20</v>
      </c>
      <c r="BA20" s="21" t="s">
        <v>20</v>
      </c>
      <c r="BB20" s="21" t="s">
        <v>20</v>
      </c>
      <c r="BC20" s="22" t="s">
        <v>51</v>
      </c>
      <c r="BD20" s="69" t="e">
        <f t="shared" si="5"/>
        <v>#VALUE!</v>
      </c>
      <c r="BE20" s="11">
        <f t="shared" si="6"/>
        <v>250</v>
      </c>
      <c r="BF20" s="11">
        <f t="shared" si="7"/>
        <v>250</v>
      </c>
      <c r="BG20" s="11" t="e">
        <f t="shared" si="8"/>
        <v>#DIV/0!</v>
      </c>
      <c r="BH20" s="11" t="e">
        <f t="shared" si="9"/>
        <v>#DIV/0!</v>
      </c>
      <c r="BI20" s="11" t="e">
        <f t="shared" si="10"/>
        <v>#VALUE!</v>
      </c>
      <c r="BJ20" s="11" t="e">
        <f t="shared" si="11"/>
        <v>#VALUE!</v>
      </c>
      <c r="BK20" s="11" t="e">
        <f t="shared" si="12"/>
        <v>#VALUE!</v>
      </c>
      <c r="BL20" s="22" t="s">
        <v>51</v>
      </c>
      <c r="BM20" s="18" t="s">
        <v>20</v>
      </c>
      <c r="BN20" s="16">
        <f t="shared" si="19"/>
        <v>5</v>
      </c>
      <c r="BO20" s="129">
        <v>5</v>
      </c>
      <c r="BP20" s="16">
        <v>0</v>
      </c>
      <c r="BQ20" s="16">
        <v>0</v>
      </c>
      <c r="BR20" s="21" t="s">
        <v>20</v>
      </c>
      <c r="BS20" s="21" t="s">
        <v>20</v>
      </c>
      <c r="BT20" s="21" t="s">
        <v>20</v>
      </c>
      <c r="BU20" s="22" t="s">
        <v>51</v>
      </c>
      <c r="BV20" s="226"/>
      <c r="BW20" s="227">
        <f t="shared" si="13"/>
        <v>100</v>
      </c>
      <c r="BX20" s="229">
        <f t="shared" si="23"/>
        <v>100</v>
      </c>
      <c r="BY20" s="229"/>
      <c r="BZ20" s="229"/>
      <c r="CA20" s="227"/>
      <c r="CB20" s="227" t="e">
        <f t="shared" si="14"/>
        <v>#VALUE!</v>
      </c>
      <c r="CC20" s="227" t="e">
        <f t="shared" si="15"/>
        <v>#VALUE!</v>
      </c>
      <c r="CD20" s="228" t="s">
        <v>51</v>
      </c>
    </row>
    <row r="21" spans="1:82" ht="20.25">
      <c r="A21" s="29" t="s">
        <v>28</v>
      </c>
      <c r="B21" s="18" t="s">
        <v>20</v>
      </c>
      <c r="C21" s="16">
        <f t="shared" si="2"/>
        <v>13</v>
      </c>
      <c r="D21" s="16">
        <v>13</v>
      </c>
      <c r="E21" s="16">
        <v>0</v>
      </c>
      <c r="F21" s="16">
        <v>0</v>
      </c>
      <c r="G21" s="19" t="s">
        <v>20</v>
      </c>
      <c r="H21" s="19" t="s">
        <v>20</v>
      </c>
      <c r="I21" s="19" t="s">
        <v>20</v>
      </c>
      <c r="J21" s="20" t="s">
        <v>20</v>
      </c>
      <c r="K21" s="18" t="s">
        <v>20</v>
      </c>
      <c r="L21" s="16">
        <f t="shared" si="16"/>
        <v>13</v>
      </c>
      <c r="M21" s="16">
        <v>13</v>
      </c>
      <c r="N21" s="16">
        <v>0</v>
      </c>
      <c r="O21" s="16">
        <v>0</v>
      </c>
      <c r="P21" s="21" t="s">
        <v>20</v>
      </c>
      <c r="Q21" s="21" t="s">
        <v>20</v>
      </c>
      <c r="R21" s="21" t="s">
        <v>20</v>
      </c>
      <c r="S21" s="22" t="s">
        <v>20</v>
      </c>
      <c r="T21" s="23" t="s">
        <v>20</v>
      </c>
      <c r="U21" s="6">
        <f t="shared" si="20"/>
        <v>100</v>
      </c>
      <c r="V21" s="6">
        <f t="shared" si="22"/>
        <v>100</v>
      </c>
      <c r="W21" s="6">
        <v>0</v>
      </c>
      <c r="X21" s="6">
        <v>0</v>
      </c>
      <c r="Y21" s="6">
        <v>0</v>
      </c>
      <c r="Z21" s="17"/>
      <c r="AA21" s="17"/>
      <c r="AB21" s="24"/>
      <c r="AC21" s="18" t="s">
        <v>20</v>
      </c>
      <c r="AD21" s="16">
        <f t="shared" si="17"/>
        <v>11</v>
      </c>
      <c r="AE21" s="16">
        <v>11</v>
      </c>
      <c r="AF21" s="16">
        <v>0</v>
      </c>
      <c r="AG21" s="16">
        <v>0</v>
      </c>
      <c r="AH21" s="21" t="s">
        <v>20</v>
      </c>
      <c r="AI21" s="21" t="s">
        <v>20</v>
      </c>
      <c r="AJ21" s="21" t="s">
        <v>20</v>
      </c>
      <c r="AK21" s="22" t="s">
        <v>20</v>
      </c>
      <c r="AL21" s="23" t="s">
        <v>20</v>
      </c>
      <c r="AM21" s="6">
        <f t="shared" si="3"/>
        <v>84.61538461538461</v>
      </c>
      <c r="AN21" s="6">
        <f t="shared" si="4"/>
        <v>84.61538461538461</v>
      </c>
      <c r="AO21" s="6"/>
      <c r="AP21" s="6">
        <v>0</v>
      </c>
      <c r="AQ21" s="6">
        <v>0</v>
      </c>
      <c r="AR21" s="17"/>
      <c r="AS21" s="17"/>
      <c r="AT21" s="24"/>
      <c r="AU21" s="18" t="s">
        <v>20</v>
      </c>
      <c r="AV21" s="16">
        <f t="shared" si="18"/>
        <v>8</v>
      </c>
      <c r="AW21" s="129">
        <v>8</v>
      </c>
      <c r="AX21" s="16">
        <v>0</v>
      </c>
      <c r="AY21" s="16">
        <v>0</v>
      </c>
      <c r="AZ21" s="21" t="s">
        <v>20</v>
      </c>
      <c r="BA21" s="21" t="s">
        <v>20</v>
      </c>
      <c r="BB21" s="21" t="s">
        <v>20</v>
      </c>
      <c r="BC21" s="22" t="s">
        <v>51</v>
      </c>
      <c r="BD21" s="69" t="e">
        <f t="shared" si="5"/>
        <v>#VALUE!</v>
      </c>
      <c r="BE21" s="11">
        <f t="shared" si="6"/>
        <v>72.72727272727273</v>
      </c>
      <c r="BF21" s="11">
        <f t="shared" si="7"/>
        <v>72.72727272727273</v>
      </c>
      <c r="BG21" s="11" t="e">
        <f t="shared" si="8"/>
        <v>#DIV/0!</v>
      </c>
      <c r="BH21" s="11" t="e">
        <f t="shared" si="9"/>
        <v>#DIV/0!</v>
      </c>
      <c r="BI21" s="11" t="e">
        <f t="shared" si="10"/>
        <v>#VALUE!</v>
      </c>
      <c r="BJ21" s="11" t="e">
        <f t="shared" si="11"/>
        <v>#VALUE!</v>
      </c>
      <c r="BK21" s="11" t="e">
        <f t="shared" si="12"/>
        <v>#VALUE!</v>
      </c>
      <c r="BL21" s="22" t="s">
        <v>51</v>
      </c>
      <c r="BM21" s="18" t="s">
        <v>20</v>
      </c>
      <c r="BN21" s="16">
        <f t="shared" si="19"/>
        <v>8</v>
      </c>
      <c r="BO21" s="129">
        <v>8</v>
      </c>
      <c r="BP21" s="16">
        <v>0</v>
      </c>
      <c r="BQ21" s="16">
        <v>0</v>
      </c>
      <c r="BR21" s="21" t="s">
        <v>20</v>
      </c>
      <c r="BS21" s="21" t="s">
        <v>20</v>
      </c>
      <c r="BT21" s="21" t="s">
        <v>20</v>
      </c>
      <c r="BU21" s="22" t="s">
        <v>51</v>
      </c>
      <c r="BV21" s="226"/>
      <c r="BW21" s="227">
        <f t="shared" si="13"/>
        <v>100</v>
      </c>
      <c r="BX21" s="229">
        <f t="shared" si="23"/>
        <v>100</v>
      </c>
      <c r="BY21" s="229"/>
      <c r="BZ21" s="229"/>
      <c r="CA21" s="227"/>
      <c r="CB21" s="227" t="e">
        <f t="shared" si="14"/>
        <v>#VALUE!</v>
      </c>
      <c r="CC21" s="227" t="e">
        <f t="shared" si="15"/>
        <v>#VALUE!</v>
      </c>
      <c r="CD21" s="228" t="s">
        <v>51</v>
      </c>
    </row>
    <row r="22" spans="1:82" ht="20.25">
      <c r="A22" s="15" t="s">
        <v>29</v>
      </c>
      <c r="B22" s="18" t="s">
        <v>20</v>
      </c>
      <c r="C22" s="16">
        <f t="shared" si="2"/>
        <v>18</v>
      </c>
      <c r="D22" s="16">
        <v>18</v>
      </c>
      <c r="E22" s="16">
        <v>0</v>
      </c>
      <c r="F22" s="16">
        <v>0</v>
      </c>
      <c r="G22" s="19" t="s">
        <v>20</v>
      </c>
      <c r="H22" s="19" t="s">
        <v>20</v>
      </c>
      <c r="I22" s="19" t="s">
        <v>20</v>
      </c>
      <c r="J22" s="20" t="s">
        <v>20</v>
      </c>
      <c r="K22" s="18" t="s">
        <v>20</v>
      </c>
      <c r="L22" s="16">
        <f t="shared" si="16"/>
        <v>20</v>
      </c>
      <c r="M22" s="16">
        <v>20</v>
      </c>
      <c r="N22" s="16">
        <v>0</v>
      </c>
      <c r="O22" s="16">
        <v>0</v>
      </c>
      <c r="P22" s="21" t="s">
        <v>20</v>
      </c>
      <c r="Q22" s="21" t="s">
        <v>20</v>
      </c>
      <c r="R22" s="21" t="s">
        <v>20</v>
      </c>
      <c r="S22" s="22" t="s">
        <v>20</v>
      </c>
      <c r="T22" s="23" t="s">
        <v>20</v>
      </c>
      <c r="U22" s="6">
        <f t="shared" si="20"/>
        <v>111.11111111111111</v>
      </c>
      <c r="V22" s="6">
        <f t="shared" si="22"/>
        <v>111.11111111111111</v>
      </c>
      <c r="W22" s="6">
        <v>0</v>
      </c>
      <c r="X22" s="6">
        <v>0</v>
      </c>
      <c r="Y22" s="6">
        <v>0</v>
      </c>
      <c r="Z22" s="17"/>
      <c r="AA22" s="17"/>
      <c r="AB22" s="24"/>
      <c r="AC22" s="18" t="s">
        <v>20</v>
      </c>
      <c r="AD22" s="16">
        <f t="shared" si="17"/>
        <v>6</v>
      </c>
      <c r="AE22" s="16">
        <v>6</v>
      </c>
      <c r="AF22" s="16">
        <v>0</v>
      </c>
      <c r="AG22" s="16">
        <v>0</v>
      </c>
      <c r="AH22" s="21" t="s">
        <v>20</v>
      </c>
      <c r="AI22" s="21" t="s">
        <v>20</v>
      </c>
      <c r="AJ22" s="21" t="s">
        <v>20</v>
      </c>
      <c r="AK22" s="22" t="s">
        <v>20</v>
      </c>
      <c r="AL22" s="23" t="s">
        <v>20</v>
      </c>
      <c r="AM22" s="6">
        <f t="shared" si="3"/>
        <v>30</v>
      </c>
      <c r="AN22" s="6">
        <f t="shared" si="4"/>
        <v>30</v>
      </c>
      <c r="AO22" s="6"/>
      <c r="AP22" s="6">
        <v>0</v>
      </c>
      <c r="AQ22" s="6">
        <v>0</v>
      </c>
      <c r="AR22" s="17"/>
      <c r="AS22" s="17"/>
      <c r="AT22" s="24"/>
      <c r="AU22" s="18" t="s">
        <v>20</v>
      </c>
      <c r="AV22" s="16">
        <f t="shared" si="18"/>
        <v>6</v>
      </c>
      <c r="AW22" s="129">
        <v>6</v>
      </c>
      <c r="AX22" s="16">
        <v>0</v>
      </c>
      <c r="AY22" s="16">
        <v>0</v>
      </c>
      <c r="AZ22" s="21" t="s">
        <v>20</v>
      </c>
      <c r="BA22" s="21" t="s">
        <v>20</v>
      </c>
      <c r="BB22" s="21" t="s">
        <v>20</v>
      </c>
      <c r="BC22" s="22" t="s">
        <v>51</v>
      </c>
      <c r="BD22" s="69" t="e">
        <f t="shared" si="5"/>
        <v>#VALUE!</v>
      </c>
      <c r="BE22" s="11">
        <f t="shared" si="6"/>
        <v>100</v>
      </c>
      <c r="BF22" s="11">
        <f t="shared" si="7"/>
        <v>100</v>
      </c>
      <c r="BG22" s="11" t="e">
        <f t="shared" si="8"/>
        <v>#DIV/0!</v>
      </c>
      <c r="BH22" s="11" t="e">
        <f t="shared" si="9"/>
        <v>#DIV/0!</v>
      </c>
      <c r="BI22" s="11" t="e">
        <f t="shared" si="10"/>
        <v>#VALUE!</v>
      </c>
      <c r="BJ22" s="11" t="e">
        <f t="shared" si="11"/>
        <v>#VALUE!</v>
      </c>
      <c r="BK22" s="11" t="e">
        <f t="shared" si="12"/>
        <v>#VALUE!</v>
      </c>
      <c r="BL22" s="22" t="s">
        <v>51</v>
      </c>
      <c r="BM22" s="18" t="s">
        <v>20</v>
      </c>
      <c r="BN22" s="16">
        <f t="shared" si="19"/>
        <v>9</v>
      </c>
      <c r="BO22" s="129">
        <v>9</v>
      </c>
      <c r="BP22" s="16">
        <v>0</v>
      </c>
      <c r="BQ22" s="16">
        <v>0</v>
      </c>
      <c r="BR22" s="21" t="s">
        <v>20</v>
      </c>
      <c r="BS22" s="21" t="s">
        <v>20</v>
      </c>
      <c r="BT22" s="21" t="s">
        <v>20</v>
      </c>
      <c r="BU22" s="22" t="s">
        <v>51</v>
      </c>
      <c r="BV22" s="226"/>
      <c r="BW22" s="227">
        <f t="shared" si="13"/>
        <v>150</v>
      </c>
      <c r="BX22" s="229">
        <f t="shared" si="23"/>
        <v>150</v>
      </c>
      <c r="BY22" s="229"/>
      <c r="BZ22" s="229"/>
      <c r="CA22" s="227"/>
      <c r="CB22" s="227" t="e">
        <f t="shared" si="14"/>
        <v>#VALUE!</v>
      </c>
      <c r="CC22" s="227" t="e">
        <f t="shared" si="15"/>
        <v>#VALUE!</v>
      </c>
      <c r="CD22" s="228" t="s">
        <v>51</v>
      </c>
    </row>
    <row r="23" spans="1:82" ht="23.25" customHeight="1">
      <c r="A23" s="15" t="s">
        <v>25</v>
      </c>
      <c r="B23" s="18" t="s">
        <v>20</v>
      </c>
      <c r="C23" s="16">
        <f t="shared" si="2"/>
        <v>314</v>
      </c>
      <c r="D23" s="16">
        <v>144</v>
      </c>
      <c r="E23" s="16">
        <v>170</v>
      </c>
      <c r="F23" s="16">
        <v>0</v>
      </c>
      <c r="G23" s="19" t="s">
        <v>20</v>
      </c>
      <c r="H23" s="19" t="s">
        <v>20</v>
      </c>
      <c r="I23" s="19" t="s">
        <v>20</v>
      </c>
      <c r="J23" s="20" t="s">
        <v>20</v>
      </c>
      <c r="K23" s="18" t="s">
        <v>20</v>
      </c>
      <c r="L23" s="16">
        <f t="shared" si="16"/>
        <v>212</v>
      </c>
      <c r="M23" s="16">
        <v>163</v>
      </c>
      <c r="N23" s="16">
        <v>49</v>
      </c>
      <c r="O23" s="16">
        <v>0</v>
      </c>
      <c r="P23" s="21" t="s">
        <v>20</v>
      </c>
      <c r="Q23" s="21" t="s">
        <v>20</v>
      </c>
      <c r="R23" s="21" t="s">
        <v>20</v>
      </c>
      <c r="S23" s="22" t="s">
        <v>20</v>
      </c>
      <c r="T23" s="23" t="s">
        <v>20</v>
      </c>
      <c r="U23" s="6">
        <f t="shared" si="20"/>
        <v>67.51592356687898</v>
      </c>
      <c r="V23" s="6">
        <f t="shared" si="22"/>
        <v>113.19444444444444</v>
      </c>
      <c r="W23" s="6">
        <f>N23/E23*100</f>
        <v>28.823529411764703</v>
      </c>
      <c r="X23" s="6">
        <v>0</v>
      </c>
      <c r="Y23" s="6">
        <v>0</v>
      </c>
      <c r="Z23" s="17"/>
      <c r="AA23" s="17"/>
      <c r="AB23" s="24"/>
      <c r="AC23" s="18" t="s">
        <v>20</v>
      </c>
      <c r="AD23" s="16">
        <f t="shared" si="17"/>
        <v>187</v>
      </c>
      <c r="AE23" s="16">
        <v>146</v>
      </c>
      <c r="AF23" s="16">
        <v>41</v>
      </c>
      <c r="AG23" s="16">
        <v>0</v>
      </c>
      <c r="AH23" s="21" t="s">
        <v>20</v>
      </c>
      <c r="AI23" s="21" t="s">
        <v>20</v>
      </c>
      <c r="AJ23" s="21" t="s">
        <v>20</v>
      </c>
      <c r="AK23" s="22" t="s">
        <v>20</v>
      </c>
      <c r="AL23" s="23" t="s">
        <v>20</v>
      </c>
      <c r="AM23" s="6">
        <f t="shared" si="3"/>
        <v>88.20754716981132</v>
      </c>
      <c r="AN23" s="6">
        <f t="shared" si="4"/>
        <v>89.57055214723927</v>
      </c>
      <c r="AO23" s="6">
        <f t="shared" si="21"/>
        <v>83.6734693877551</v>
      </c>
      <c r="AP23" s="6">
        <v>0</v>
      </c>
      <c r="AQ23" s="6">
        <v>0</v>
      </c>
      <c r="AR23" s="17"/>
      <c r="AS23" s="17"/>
      <c r="AT23" s="24"/>
      <c r="AU23" s="18" t="s">
        <v>20</v>
      </c>
      <c r="AV23" s="16">
        <f t="shared" si="18"/>
        <v>199</v>
      </c>
      <c r="AW23" s="129">
        <v>102</v>
      </c>
      <c r="AX23" s="16">
        <v>97</v>
      </c>
      <c r="AY23" s="16">
        <v>0</v>
      </c>
      <c r="AZ23" s="21" t="s">
        <v>20</v>
      </c>
      <c r="BA23" s="21" t="s">
        <v>20</v>
      </c>
      <c r="BB23" s="21" t="s">
        <v>20</v>
      </c>
      <c r="BC23" s="22" t="s">
        <v>51</v>
      </c>
      <c r="BD23" s="69" t="e">
        <f t="shared" si="5"/>
        <v>#VALUE!</v>
      </c>
      <c r="BE23" s="11">
        <f t="shared" si="6"/>
        <v>106.41711229946524</v>
      </c>
      <c r="BF23" s="11">
        <f t="shared" si="7"/>
        <v>69.86301369863014</v>
      </c>
      <c r="BG23" s="11">
        <f t="shared" si="8"/>
        <v>236.58536585365852</v>
      </c>
      <c r="BH23" s="11" t="e">
        <f t="shared" si="9"/>
        <v>#DIV/0!</v>
      </c>
      <c r="BI23" s="11" t="e">
        <f t="shared" si="10"/>
        <v>#VALUE!</v>
      </c>
      <c r="BJ23" s="11" t="e">
        <f t="shared" si="11"/>
        <v>#VALUE!</v>
      </c>
      <c r="BK23" s="11" t="e">
        <f t="shared" si="12"/>
        <v>#VALUE!</v>
      </c>
      <c r="BL23" s="22" t="s">
        <v>51</v>
      </c>
      <c r="BM23" s="18" t="s">
        <v>20</v>
      </c>
      <c r="BN23" s="16">
        <f t="shared" si="19"/>
        <v>230</v>
      </c>
      <c r="BO23" s="129">
        <v>133</v>
      </c>
      <c r="BP23" s="16">
        <v>97</v>
      </c>
      <c r="BQ23" s="16">
        <v>0</v>
      </c>
      <c r="BR23" s="21" t="s">
        <v>20</v>
      </c>
      <c r="BS23" s="21" t="s">
        <v>20</v>
      </c>
      <c r="BT23" s="21" t="s">
        <v>20</v>
      </c>
      <c r="BU23" s="22" t="s">
        <v>51</v>
      </c>
      <c r="BV23" s="226"/>
      <c r="BW23" s="227">
        <f t="shared" si="13"/>
        <v>115.57788944723617</v>
      </c>
      <c r="BX23" s="229">
        <f t="shared" si="23"/>
        <v>130.3921568627451</v>
      </c>
      <c r="BY23" s="229">
        <f>BP23/AX23*100</f>
        <v>100</v>
      </c>
      <c r="BZ23" s="229"/>
      <c r="CA23" s="227"/>
      <c r="CB23" s="227" t="e">
        <f t="shared" si="14"/>
        <v>#VALUE!</v>
      </c>
      <c r="CC23" s="227" t="e">
        <f t="shared" si="15"/>
        <v>#VALUE!</v>
      </c>
      <c r="CD23" s="228" t="s">
        <v>51</v>
      </c>
    </row>
    <row r="24" spans="1:82" ht="20.25">
      <c r="A24" s="15" t="s">
        <v>15</v>
      </c>
      <c r="B24" s="18" t="s">
        <v>20</v>
      </c>
      <c r="C24" s="16">
        <f t="shared" si="2"/>
        <v>66</v>
      </c>
      <c r="D24" s="16">
        <v>66</v>
      </c>
      <c r="E24" s="16">
        <v>0</v>
      </c>
      <c r="F24" s="16">
        <v>0</v>
      </c>
      <c r="G24" s="19" t="s">
        <v>20</v>
      </c>
      <c r="H24" s="19" t="s">
        <v>20</v>
      </c>
      <c r="I24" s="19" t="s">
        <v>20</v>
      </c>
      <c r="J24" s="20" t="s">
        <v>20</v>
      </c>
      <c r="K24" s="18" t="s">
        <v>20</v>
      </c>
      <c r="L24" s="16">
        <f t="shared" si="16"/>
        <v>54</v>
      </c>
      <c r="M24" s="16">
        <v>54</v>
      </c>
      <c r="N24" s="16">
        <v>0</v>
      </c>
      <c r="O24" s="16">
        <v>0</v>
      </c>
      <c r="P24" s="21" t="s">
        <v>20</v>
      </c>
      <c r="Q24" s="21" t="s">
        <v>20</v>
      </c>
      <c r="R24" s="21" t="s">
        <v>20</v>
      </c>
      <c r="S24" s="22" t="s">
        <v>20</v>
      </c>
      <c r="T24" s="23" t="s">
        <v>20</v>
      </c>
      <c r="U24" s="6">
        <f t="shared" si="20"/>
        <v>81.81818181818183</v>
      </c>
      <c r="V24" s="6">
        <f t="shared" si="22"/>
        <v>81.81818181818183</v>
      </c>
      <c r="W24" s="6">
        <v>0</v>
      </c>
      <c r="X24" s="6">
        <v>0</v>
      </c>
      <c r="Y24" s="6">
        <v>0</v>
      </c>
      <c r="Z24" s="17"/>
      <c r="AA24" s="17"/>
      <c r="AB24" s="24"/>
      <c r="AC24" s="18" t="s">
        <v>20</v>
      </c>
      <c r="AD24" s="16">
        <f t="shared" si="17"/>
        <v>41</v>
      </c>
      <c r="AE24" s="16">
        <v>41</v>
      </c>
      <c r="AF24" s="16">
        <v>0</v>
      </c>
      <c r="AG24" s="16">
        <v>0</v>
      </c>
      <c r="AH24" s="21" t="s">
        <v>20</v>
      </c>
      <c r="AI24" s="21" t="s">
        <v>20</v>
      </c>
      <c r="AJ24" s="21" t="s">
        <v>20</v>
      </c>
      <c r="AK24" s="22" t="s">
        <v>20</v>
      </c>
      <c r="AL24" s="23" t="s">
        <v>20</v>
      </c>
      <c r="AM24" s="6">
        <f t="shared" si="3"/>
        <v>75.92592592592592</v>
      </c>
      <c r="AN24" s="6">
        <f t="shared" si="4"/>
        <v>75.92592592592592</v>
      </c>
      <c r="AO24" s="6"/>
      <c r="AP24" s="6">
        <v>0</v>
      </c>
      <c r="AQ24" s="6">
        <v>0</v>
      </c>
      <c r="AR24" s="17"/>
      <c r="AS24" s="17"/>
      <c r="AT24" s="24"/>
      <c r="AU24" s="18" t="s">
        <v>20</v>
      </c>
      <c r="AV24" s="16">
        <f t="shared" si="18"/>
        <v>33</v>
      </c>
      <c r="AW24" s="129">
        <v>33</v>
      </c>
      <c r="AX24" s="16">
        <v>0</v>
      </c>
      <c r="AY24" s="16">
        <v>0</v>
      </c>
      <c r="AZ24" s="21" t="s">
        <v>20</v>
      </c>
      <c r="BA24" s="21" t="s">
        <v>20</v>
      </c>
      <c r="BB24" s="21" t="s">
        <v>20</v>
      </c>
      <c r="BC24" s="22" t="s">
        <v>51</v>
      </c>
      <c r="BD24" s="69" t="e">
        <f t="shared" si="5"/>
        <v>#VALUE!</v>
      </c>
      <c r="BE24" s="11">
        <f t="shared" si="6"/>
        <v>80.48780487804879</v>
      </c>
      <c r="BF24" s="11">
        <f t="shared" si="7"/>
        <v>80.48780487804879</v>
      </c>
      <c r="BG24" s="11" t="e">
        <f t="shared" si="8"/>
        <v>#DIV/0!</v>
      </c>
      <c r="BH24" s="11" t="e">
        <f t="shared" si="9"/>
        <v>#DIV/0!</v>
      </c>
      <c r="BI24" s="11" t="e">
        <f t="shared" si="10"/>
        <v>#VALUE!</v>
      </c>
      <c r="BJ24" s="11" t="e">
        <f t="shared" si="11"/>
        <v>#VALUE!</v>
      </c>
      <c r="BK24" s="11" t="e">
        <f t="shared" si="12"/>
        <v>#VALUE!</v>
      </c>
      <c r="BL24" s="22" t="s">
        <v>51</v>
      </c>
      <c r="BM24" s="18" t="s">
        <v>20</v>
      </c>
      <c r="BN24" s="16">
        <f t="shared" si="19"/>
        <v>56</v>
      </c>
      <c r="BO24" s="129">
        <v>56</v>
      </c>
      <c r="BP24" s="16">
        <v>0</v>
      </c>
      <c r="BQ24" s="16">
        <v>0</v>
      </c>
      <c r="BR24" s="21" t="s">
        <v>20</v>
      </c>
      <c r="BS24" s="21" t="s">
        <v>20</v>
      </c>
      <c r="BT24" s="21" t="s">
        <v>20</v>
      </c>
      <c r="BU24" s="22" t="s">
        <v>51</v>
      </c>
      <c r="BV24" s="226"/>
      <c r="BW24" s="227">
        <f t="shared" si="13"/>
        <v>169.6969696969697</v>
      </c>
      <c r="BX24" s="229">
        <f aca="true" t="shared" si="24" ref="BX24:BX32">BO24/AW24*100</f>
        <v>169.6969696969697</v>
      </c>
      <c r="BY24" s="229"/>
      <c r="BZ24" s="229"/>
      <c r="CA24" s="227"/>
      <c r="CB24" s="227" t="e">
        <f t="shared" si="14"/>
        <v>#VALUE!</v>
      </c>
      <c r="CC24" s="227" t="e">
        <f t="shared" si="15"/>
        <v>#VALUE!</v>
      </c>
      <c r="CD24" s="228" t="s">
        <v>51</v>
      </c>
    </row>
    <row r="25" spans="1:82" ht="33.75" customHeight="1">
      <c r="A25" s="15" t="s">
        <v>26</v>
      </c>
      <c r="B25" s="18" t="s">
        <v>20</v>
      </c>
      <c r="C25" s="16">
        <f t="shared" si="2"/>
        <v>147</v>
      </c>
      <c r="D25" s="16">
        <v>94</v>
      </c>
      <c r="E25" s="16">
        <v>53</v>
      </c>
      <c r="F25" s="16">
        <v>0</v>
      </c>
      <c r="G25" s="19" t="s">
        <v>20</v>
      </c>
      <c r="H25" s="19" t="s">
        <v>20</v>
      </c>
      <c r="I25" s="19" t="s">
        <v>20</v>
      </c>
      <c r="J25" s="20" t="s">
        <v>20</v>
      </c>
      <c r="K25" s="18" t="s">
        <v>20</v>
      </c>
      <c r="L25" s="16">
        <f t="shared" si="16"/>
        <v>110</v>
      </c>
      <c r="M25" s="16">
        <v>86</v>
      </c>
      <c r="N25" s="30">
        <v>24</v>
      </c>
      <c r="O25" s="16">
        <v>0</v>
      </c>
      <c r="P25" s="21" t="s">
        <v>20</v>
      </c>
      <c r="Q25" s="21" t="s">
        <v>20</v>
      </c>
      <c r="R25" s="21" t="s">
        <v>20</v>
      </c>
      <c r="S25" s="22" t="s">
        <v>20</v>
      </c>
      <c r="T25" s="23" t="s">
        <v>20</v>
      </c>
      <c r="U25" s="6">
        <f t="shared" si="20"/>
        <v>74.82993197278913</v>
      </c>
      <c r="V25" s="6">
        <f t="shared" si="22"/>
        <v>91.48936170212765</v>
      </c>
      <c r="W25" s="6">
        <f>N25/E25*100</f>
        <v>45.28301886792453</v>
      </c>
      <c r="X25" s="6">
        <v>0</v>
      </c>
      <c r="Y25" s="6">
        <v>0</v>
      </c>
      <c r="Z25" s="17"/>
      <c r="AA25" s="17"/>
      <c r="AB25" s="24"/>
      <c r="AC25" s="18" t="s">
        <v>20</v>
      </c>
      <c r="AD25" s="16">
        <f aca="true" t="shared" si="25" ref="AD25:AD32">AE25+AF25+AG25</f>
        <v>78</v>
      </c>
      <c r="AE25" s="16">
        <v>46</v>
      </c>
      <c r="AF25" s="30">
        <v>32</v>
      </c>
      <c r="AG25" s="16">
        <v>0</v>
      </c>
      <c r="AH25" s="21" t="s">
        <v>20</v>
      </c>
      <c r="AI25" s="21" t="s">
        <v>20</v>
      </c>
      <c r="AJ25" s="21" t="s">
        <v>20</v>
      </c>
      <c r="AK25" s="22" t="s">
        <v>20</v>
      </c>
      <c r="AL25" s="23" t="s">
        <v>20</v>
      </c>
      <c r="AM25" s="6">
        <f t="shared" si="3"/>
        <v>70.9090909090909</v>
      </c>
      <c r="AN25" s="6">
        <f t="shared" si="4"/>
        <v>53.48837209302325</v>
      </c>
      <c r="AO25" s="6">
        <f t="shared" si="21"/>
        <v>133.33333333333331</v>
      </c>
      <c r="AP25" s="6">
        <v>0</v>
      </c>
      <c r="AQ25" s="6">
        <v>0</v>
      </c>
      <c r="AR25" s="17"/>
      <c r="AS25" s="17"/>
      <c r="AT25" s="24"/>
      <c r="AU25" s="18" t="s">
        <v>20</v>
      </c>
      <c r="AV25" s="16">
        <f aca="true" t="shared" si="26" ref="AV25:AV32">AW25+AX25+AY25</f>
        <v>94</v>
      </c>
      <c r="AW25" s="129">
        <v>56</v>
      </c>
      <c r="AX25" s="30">
        <v>38</v>
      </c>
      <c r="AY25" s="16">
        <v>0</v>
      </c>
      <c r="AZ25" s="21" t="s">
        <v>20</v>
      </c>
      <c r="BA25" s="21" t="s">
        <v>20</v>
      </c>
      <c r="BB25" s="21" t="s">
        <v>20</v>
      </c>
      <c r="BC25" s="22" t="s">
        <v>51</v>
      </c>
      <c r="BD25" s="69" t="e">
        <f t="shared" si="5"/>
        <v>#VALUE!</v>
      </c>
      <c r="BE25" s="11">
        <f t="shared" si="6"/>
        <v>120.51282051282051</v>
      </c>
      <c r="BF25" s="11">
        <f t="shared" si="7"/>
        <v>121.73913043478262</v>
      </c>
      <c r="BG25" s="11">
        <f t="shared" si="8"/>
        <v>118.75</v>
      </c>
      <c r="BH25" s="11" t="e">
        <f t="shared" si="9"/>
        <v>#DIV/0!</v>
      </c>
      <c r="BI25" s="11" t="e">
        <f t="shared" si="10"/>
        <v>#VALUE!</v>
      </c>
      <c r="BJ25" s="11" t="e">
        <f t="shared" si="11"/>
        <v>#VALUE!</v>
      </c>
      <c r="BK25" s="11" t="e">
        <f t="shared" si="12"/>
        <v>#VALUE!</v>
      </c>
      <c r="BL25" s="22" t="s">
        <v>51</v>
      </c>
      <c r="BM25" s="18" t="s">
        <v>20</v>
      </c>
      <c r="BN25" s="16">
        <f aca="true" t="shared" si="27" ref="BN25:BN32">BO25+BP25+BQ25</f>
        <v>94</v>
      </c>
      <c r="BO25" s="129">
        <v>74</v>
      </c>
      <c r="BP25" s="30">
        <v>20</v>
      </c>
      <c r="BQ25" s="16">
        <v>0</v>
      </c>
      <c r="BR25" s="21" t="s">
        <v>20</v>
      </c>
      <c r="BS25" s="21" t="s">
        <v>20</v>
      </c>
      <c r="BT25" s="21" t="s">
        <v>20</v>
      </c>
      <c r="BU25" s="22" t="s">
        <v>51</v>
      </c>
      <c r="BV25" s="226"/>
      <c r="BW25" s="227">
        <f t="shared" si="13"/>
        <v>100</v>
      </c>
      <c r="BX25" s="229">
        <f t="shared" si="24"/>
        <v>132.14285714285714</v>
      </c>
      <c r="BY25" s="229">
        <f>BP25/AX25*100</f>
        <v>52.63157894736842</v>
      </c>
      <c r="BZ25" s="229"/>
      <c r="CA25" s="227"/>
      <c r="CB25" s="227" t="e">
        <f t="shared" si="14"/>
        <v>#VALUE!</v>
      </c>
      <c r="CC25" s="227" t="e">
        <f t="shared" si="15"/>
        <v>#VALUE!</v>
      </c>
      <c r="CD25" s="228" t="s">
        <v>51</v>
      </c>
    </row>
    <row r="26" spans="1:82" ht="32.25" customHeight="1">
      <c r="A26" s="46" t="s">
        <v>30</v>
      </c>
      <c r="B26" s="18" t="s">
        <v>20</v>
      </c>
      <c r="C26" s="16">
        <f t="shared" si="2"/>
        <v>0</v>
      </c>
      <c r="D26" s="16">
        <v>0</v>
      </c>
      <c r="E26" s="16">
        <v>0</v>
      </c>
      <c r="F26" s="16">
        <v>0</v>
      </c>
      <c r="G26" s="19" t="s">
        <v>20</v>
      </c>
      <c r="H26" s="19" t="s">
        <v>20</v>
      </c>
      <c r="I26" s="19" t="s">
        <v>20</v>
      </c>
      <c r="J26" s="20" t="s">
        <v>20</v>
      </c>
      <c r="K26" s="18" t="s">
        <v>20</v>
      </c>
      <c r="L26" s="16">
        <f t="shared" si="16"/>
        <v>1</v>
      </c>
      <c r="M26" s="30">
        <v>1</v>
      </c>
      <c r="N26" s="16">
        <v>0</v>
      </c>
      <c r="O26" s="16">
        <v>0</v>
      </c>
      <c r="P26" s="21" t="s">
        <v>20</v>
      </c>
      <c r="Q26" s="21" t="s">
        <v>20</v>
      </c>
      <c r="R26" s="21" t="s">
        <v>20</v>
      </c>
      <c r="S26" s="22" t="s">
        <v>20</v>
      </c>
      <c r="T26" s="23" t="s">
        <v>20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17"/>
      <c r="AA26" s="17"/>
      <c r="AB26" s="24"/>
      <c r="AC26" s="18" t="s">
        <v>20</v>
      </c>
      <c r="AD26" s="16">
        <f t="shared" si="25"/>
        <v>1</v>
      </c>
      <c r="AE26" s="16">
        <v>1</v>
      </c>
      <c r="AF26" s="16">
        <v>0</v>
      </c>
      <c r="AG26" s="16">
        <v>0</v>
      </c>
      <c r="AH26" s="21" t="s">
        <v>20</v>
      </c>
      <c r="AI26" s="21" t="s">
        <v>20</v>
      </c>
      <c r="AJ26" s="21" t="s">
        <v>20</v>
      </c>
      <c r="AK26" s="22" t="s">
        <v>20</v>
      </c>
      <c r="AL26" s="23" t="s">
        <v>20</v>
      </c>
      <c r="AM26" s="6">
        <f t="shared" si="3"/>
        <v>100</v>
      </c>
      <c r="AN26" s="6">
        <f t="shared" si="4"/>
        <v>100</v>
      </c>
      <c r="AO26" s="6"/>
      <c r="AP26" s="6">
        <v>0</v>
      </c>
      <c r="AQ26" s="6">
        <v>0</v>
      </c>
      <c r="AR26" s="17"/>
      <c r="AS26" s="17"/>
      <c r="AT26" s="24"/>
      <c r="AU26" s="18" t="s">
        <v>20</v>
      </c>
      <c r="AV26" s="16">
        <f t="shared" si="26"/>
        <v>1</v>
      </c>
      <c r="AW26" s="126">
        <v>1</v>
      </c>
      <c r="AX26" s="16">
        <v>0</v>
      </c>
      <c r="AY26" s="16">
        <v>0</v>
      </c>
      <c r="AZ26" s="21" t="s">
        <v>20</v>
      </c>
      <c r="BA26" s="21" t="s">
        <v>20</v>
      </c>
      <c r="BB26" s="21" t="s">
        <v>20</v>
      </c>
      <c r="BC26" s="22" t="s">
        <v>51</v>
      </c>
      <c r="BD26" s="69" t="e">
        <f t="shared" si="5"/>
        <v>#VALUE!</v>
      </c>
      <c r="BE26" s="11">
        <f t="shared" si="6"/>
        <v>100</v>
      </c>
      <c r="BF26" s="11">
        <f t="shared" si="7"/>
        <v>100</v>
      </c>
      <c r="BG26" s="11" t="e">
        <f t="shared" si="8"/>
        <v>#DIV/0!</v>
      </c>
      <c r="BH26" s="11" t="e">
        <f t="shared" si="9"/>
        <v>#DIV/0!</v>
      </c>
      <c r="BI26" s="11" t="e">
        <f t="shared" si="10"/>
        <v>#VALUE!</v>
      </c>
      <c r="BJ26" s="11" t="e">
        <f t="shared" si="11"/>
        <v>#VALUE!</v>
      </c>
      <c r="BK26" s="11" t="e">
        <f t="shared" si="12"/>
        <v>#VALUE!</v>
      </c>
      <c r="BL26" s="22" t="s">
        <v>51</v>
      </c>
      <c r="BM26" s="18" t="s">
        <v>20</v>
      </c>
      <c r="BN26" s="16">
        <f t="shared" si="27"/>
        <v>1</v>
      </c>
      <c r="BO26" s="126">
        <v>1</v>
      </c>
      <c r="BP26" s="16">
        <v>0</v>
      </c>
      <c r="BQ26" s="16">
        <v>0</v>
      </c>
      <c r="BR26" s="21" t="s">
        <v>20</v>
      </c>
      <c r="BS26" s="21" t="s">
        <v>20</v>
      </c>
      <c r="BT26" s="21" t="s">
        <v>20</v>
      </c>
      <c r="BU26" s="22" t="s">
        <v>51</v>
      </c>
      <c r="BV26" s="226"/>
      <c r="BW26" s="227">
        <f t="shared" si="13"/>
        <v>100</v>
      </c>
      <c r="BX26" s="229">
        <f t="shared" si="24"/>
        <v>100</v>
      </c>
      <c r="BY26" s="229"/>
      <c r="BZ26" s="229"/>
      <c r="CA26" s="227"/>
      <c r="CB26" s="227" t="e">
        <f t="shared" si="14"/>
        <v>#VALUE!</v>
      </c>
      <c r="CC26" s="227" t="e">
        <f t="shared" si="15"/>
        <v>#VALUE!</v>
      </c>
      <c r="CD26" s="228" t="s">
        <v>51</v>
      </c>
    </row>
    <row r="27" spans="1:82" ht="15.75" customHeight="1">
      <c r="A27" s="15" t="s">
        <v>5</v>
      </c>
      <c r="B27" s="18" t="s">
        <v>20</v>
      </c>
      <c r="C27" s="16">
        <f t="shared" si="2"/>
        <v>12</v>
      </c>
      <c r="D27" s="16">
        <v>0</v>
      </c>
      <c r="E27" s="16">
        <v>12</v>
      </c>
      <c r="F27" s="16">
        <v>0</v>
      </c>
      <c r="G27" s="19" t="s">
        <v>20</v>
      </c>
      <c r="H27" s="19" t="s">
        <v>20</v>
      </c>
      <c r="I27" s="19" t="s">
        <v>20</v>
      </c>
      <c r="J27" s="20" t="s">
        <v>20</v>
      </c>
      <c r="K27" s="18" t="s">
        <v>20</v>
      </c>
      <c r="L27" s="16">
        <f t="shared" si="16"/>
        <v>5</v>
      </c>
      <c r="M27" s="30">
        <v>0</v>
      </c>
      <c r="N27" s="16">
        <v>5</v>
      </c>
      <c r="O27" s="16">
        <v>0</v>
      </c>
      <c r="P27" s="21" t="s">
        <v>20</v>
      </c>
      <c r="Q27" s="21" t="s">
        <v>20</v>
      </c>
      <c r="R27" s="21" t="s">
        <v>20</v>
      </c>
      <c r="S27" s="22" t="s">
        <v>20</v>
      </c>
      <c r="T27" s="23" t="s">
        <v>20</v>
      </c>
      <c r="U27" s="6">
        <f aca="true" t="shared" si="28" ref="U27:U32">L27/C27*100</f>
        <v>41.66666666666667</v>
      </c>
      <c r="V27" s="6">
        <v>0</v>
      </c>
      <c r="W27" s="6">
        <f>N27/E27*100</f>
        <v>41.66666666666667</v>
      </c>
      <c r="X27" s="6">
        <v>0</v>
      </c>
      <c r="Y27" s="6">
        <v>0</v>
      </c>
      <c r="Z27" s="17"/>
      <c r="AA27" s="17"/>
      <c r="AB27" s="24"/>
      <c r="AC27" s="18" t="s">
        <v>20</v>
      </c>
      <c r="AD27" s="16">
        <f t="shared" si="25"/>
        <v>0</v>
      </c>
      <c r="AE27" s="30">
        <v>0</v>
      </c>
      <c r="AF27" s="16">
        <v>0</v>
      </c>
      <c r="AG27" s="16">
        <v>0</v>
      </c>
      <c r="AH27" s="21" t="s">
        <v>20</v>
      </c>
      <c r="AI27" s="21" t="s">
        <v>20</v>
      </c>
      <c r="AJ27" s="21" t="s">
        <v>20</v>
      </c>
      <c r="AK27" s="22" t="s">
        <v>20</v>
      </c>
      <c r="AL27" s="23" t="s">
        <v>20</v>
      </c>
      <c r="AM27" s="6">
        <f t="shared" si="3"/>
        <v>0</v>
      </c>
      <c r="AN27" s="6"/>
      <c r="AO27" s="6">
        <f t="shared" si="21"/>
        <v>0</v>
      </c>
      <c r="AP27" s="6">
        <v>0</v>
      </c>
      <c r="AQ27" s="6">
        <v>0</v>
      </c>
      <c r="AR27" s="17"/>
      <c r="AS27" s="17"/>
      <c r="AT27" s="24"/>
      <c r="AU27" s="18" t="s">
        <v>20</v>
      </c>
      <c r="AV27" s="16">
        <f t="shared" si="26"/>
        <v>0</v>
      </c>
      <c r="AW27" s="126">
        <v>0</v>
      </c>
      <c r="AX27" s="16">
        <v>0</v>
      </c>
      <c r="AY27" s="16">
        <v>0</v>
      </c>
      <c r="AZ27" s="21" t="s">
        <v>20</v>
      </c>
      <c r="BA27" s="21" t="s">
        <v>20</v>
      </c>
      <c r="BB27" s="21" t="s">
        <v>20</v>
      </c>
      <c r="BC27" s="22" t="s">
        <v>51</v>
      </c>
      <c r="BD27" s="69" t="e">
        <f t="shared" si="5"/>
        <v>#VALUE!</v>
      </c>
      <c r="BE27" s="11" t="e">
        <f t="shared" si="6"/>
        <v>#DIV/0!</v>
      </c>
      <c r="BF27" s="11" t="e">
        <f t="shared" si="7"/>
        <v>#DIV/0!</v>
      </c>
      <c r="BG27" s="11" t="e">
        <f t="shared" si="8"/>
        <v>#DIV/0!</v>
      </c>
      <c r="BH27" s="11" t="e">
        <f t="shared" si="9"/>
        <v>#DIV/0!</v>
      </c>
      <c r="BI27" s="11" t="e">
        <f t="shared" si="10"/>
        <v>#VALUE!</v>
      </c>
      <c r="BJ27" s="11" t="e">
        <f t="shared" si="11"/>
        <v>#VALUE!</v>
      </c>
      <c r="BK27" s="11" t="e">
        <f t="shared" si="12"/>
        <v>#VALUE!</v>
      </c>
      <c r="BL27" s="22" t="s">
        <v>51</v>
      </c>
      <c r="BM27" s="18" t="s">
        <v>20</v>
      </c>
      <c r="BN27" s="16">
        <f t="shared" si="27"/>
        <v>0</v>
      </c>
      <c r="BO27" s="126">
        <v>0</v>
      </c>
      <c r="BP27" s="16">
        <v>0</v>
      </c>
      <c r="BQ27" s="16">
        <v>0</v>
      </c>
      <c r="BR27" s="21" t="s">
        <v>20</v>
      </c>
      <c r="BS27" s="21" t="s">
        <v>20</v>
      </c>
      <c r="BT27" s="21" t="s">
        <v>20</v>
      </c>
      <c r="BU27" s="22" t="s">
        <v>51</v>
      </c>
      <c r="BV27" s="226"/>
      <c r="BW27" s="227"/>
      <c r="BX27" s="229"/>
      <c r="BY27" s="229"/>
      <c r="BZ27" s="229"/>
      <c r="CA27" s="227"/>
      <c r="CB27" s="227" t="e">
        <f t="shared" si="14"/>
        <v>#VALUE!</v>
      </c>
      <c r="CC27" s="227" t="e">
        <f t="shared" si="15"/>
        <v>#VALUE!</v>
      </c>
      <c r="CD27" s="228" t="s">
        <v>51</v>
      </c>
    </row>
    <row r="28" spans="1:82" ht="15" customHeight="1">
      <c r="A28" s="15" t="s">
        <v>6</v>
      </c>
      <c r="B28" s="18" t="s">
        <v>20</v>
      </c>
      <c r="C28" s="16">
        <f t="shared" si="2"/>
        <v>199</v>
      </c>
      <c r="D28" s="16">
        <v>48</v>
      </c>
      <c r="E28" s="16">
        <v>70</v>
      </c>
      <c r="F28" s="16">
        <v>81</v>
      </c>
      <c r="G28" s="19" t="s">
        <v>20</v>
      </c>
      <c r="H28" s="19" t="s">
        <v>20</v>
      </c>
      <c r="I28" s="19" t="s">
        <v>20</v>
      </c>
      <c r="J28" s="20" t="s">
        <v>20</v>
      </c>
      <c r="K28" s="18" t="s">
        <v>20</v>
      </c>
      <c r="L28" s="16">
        <f t="shared" si="16"/>
        <v>115</v>
      </c>
      <c r="M28" s="16">
        <v>54</v>
      </c>
      <c r="N28" s="16">
        <v>43</v>
      </c>
      <c r="O28" s="16">
        <v>18</v>
      </c>
      <c r="P28" s="21" t="s">
        <v>20</v>
      </c>
      <c r="Q28" s="21" t="s">
        <v>20</v>
      </c>
      <c r="R28" s="21" t="s">
        <v>20</v>
      </c>
      <c r="S28" s="22" t="s">
        <v>20</v>
      </c>
      <c r="T28" s="23" t="s">
        <v>20</v>
      </c>
      <c r="U28" s="6">
        <f t="shared" si="28"/>
        <v>57.78894472361809</v>
      </c>
      <c r="V28" s="6">
        <f>M28/D28*100</f>
        <v>112.5</v>
      </c>
      <c r="W28" s="6">
        <f>N28/E28*100</f>
        <v>61.42857142857143</v>
      </c>
      <c r="X28" s="6">
        <f>O28/F28*100</f>
        <v>22.22222222222222</v>
      </c>
      <c r="Y28" s="6">
        <v>0</v>
      </c>
      <c r="Z28" s="17"/>
      <c r="AA28" s="17"/>
      <c r="AB28" s="24"/>
      <c r="AC28" s="18" t="s">
        <v>20</v>
      </c>
      <c r="AD28" s="16">
        <f t="shared" si="25"/>
        <v>117</v>
      </c>
      <c r="AE28" s="16">
        <v>55</v>
      </c>
      <c r="AF28" s="16">
        <v>62</v>
      </c>
      <c r="AG28" s="16">
        <v>0</v>
      </c>
      <c r="AH28" s="21" t="s">
        <v>20</v>
      </c>
      <c r="AI28" s="21" t="s">
        <v>20</v>
      </c>
      <c r="AJ28" s="21" t="s">
        <v>20</v>
      </c>
      <c r="AK28" s="22" t="s">
        <v>20</v>
      </c>
      <c r="AL28" s="23" t="s">
        <v>20</v>
      </c>
      <c r="AM28" s="6">
        <f t="shared" si="3"/>
        <v>101.7391304347826</v>
      </c>
      <c r="AN28" s="6">
        <f t="shared" si="4"/>
        <v>101.85185185185186</v>
      </c>
      <c r="AO28" s="6">
        <f t="shared" si="21"/>
        <v>144.1860465116279</v>
      </c>
      <c r="AP28" s="6">
        <f>AG28/X28*100</f>
        <v>0</v>
      </c>
      <c r="AQ28" s="6">
        <v>0</v>
      </c>
      <c r="AR28" s="17"/>
      <c r="AS28" s="17"/>
      <c r="AT28" s="24"/>
      <c r="AU28" s="18" t="s">
        <v>20</v>
      </c>
      <c r="AV28" s="16">
        <f t="shared" si="26"/>
        <v>152</v>
      </c>
      <c r="AW28" s="126">
        <v>50</v>
      </c>
      <c r="AX28" s="16">
        <v>102</v>
      </c>
      <c r="AY28" s="16">
        <v>0</v>
      </c>
      <c r="AZ28" s="21" t="s">
        <v>20</v>
      </c>
      <c r="BA28" s="21" t="s">
        <v>20</v>
      </c>
      <c r="BB28" s="21" t="s">
        <v>20</v>
      </c>
      <c r="BC28" s="22" t="s">
        <v>51</v>
      </c>
      <c r="BD28" s="69" t="e">
        <f t="shared" si="5"/>
        <v>#VALUE!</v>
      </c>
      <c r="BE28" s="11">
        <f t="shared" si="6"/>
        <v>129.9145299145299</v>
      </c>
      <c r="BF28" s="11">
        <f t="shared" si="7"/>
        <v>90.9090909090909</v>
      </c>
      <c r="BG28" s="11">
        <f t="shared" si="8"/>
        <v>164.51612903225808</v>
      </c>
      <c r="BH28" s="11" t="e">
        <f t="shared" si="9"/>
        <v>#DIV/0!</v>
      </c>
      <c r="BI28" s="11" t="e">
        <f t="shared" si="10"/>
        <v>#VALUE!</v>
      </c>
      <c r="BJ28" s="11" t="e">
        <f t="shared" si="11"/>
        <v>#VALUE!</v>
      </c>
      <c r="BK28" s="11" t="e">
        <f t="shared" si="12"/>
        <v>#VALUE!</v>
      </c>
      <c r="BL28" s="22" t="s">
        <v>51</v>
      </c>
      <c r="BM28" s="18" t="s">
        <v>20</v>
      </c>
      <c r="BN28" s="16">
        <f t="shared" si="27"/>
        <v>146</v>
      </c>
      <c r="BO28" s="126">
        <v>50</v>
      </c>
      <c r="BP28" s="16">
        <v>96</v>
      </c>
      <c r="BQ28" s="16">
        <v>0</v>
      </c>
      <c r="BR28" s="21" t="s">
        <v>20</v>
      </c>
      <c r="BS28" s="21" t="s">
        <v>20</v>
      </c>
      <c r="BT28" s="21" t="s">
        <v>20</v>
      </c>
      <c r="BU28" s="22" t="s">
        <v>51</v>
      </c>
      <c r="BV28" s="226"/>
      <c r="BW28" s="227">
        <f t="shared" si="13"/>
        <v>96.05263157894737</v>
      </c>
      <c r="BX28" s="229">
        <f t="shared" si="24"/>
        <v>100</v>
      </c>
      <c r="BY28" s="229">
        <f>BP28/AX28*100</f>
        <v>94.11764705882352</v>
      </c>
      <c r="BZ28" s="229"/>
      <c r="CA28" s="227"/>
      <c r="CB28" s="227" t="e">
        <f t="shared" si="14"/>
        <v>#VALUE!</v>
      </c>
      <c r="CC28" s="227" t="e">
        <f t="shared" si="15"/>
        <v>#VALUE!</v>
      </c>
      <c r="CD28" s="228" t="s">
        <v>51</v>
      </c>
    </row>
    <row r="29" spans="1:82" ht="21" customHeight="1">
      <c r="A29" s="15" t="s">
        <v>16</v>
      </c>
      <c r="B29" s="18" t="s">
        <v>20</v>
      </c>
      <c r="C29" s="16">
        <f t="shared" si="2"/>
        <v>3</v>
      </c>
      <c r="D29" s="16">
        <v>3</v>
      </c>
      <c r="E29" s="16">
        <v>0</v>
      </c>
      <c r="F29" s="16">
        <v>0</v>
      </c>
      <c r="G29" s="19" t="s">
        <v>20</v>
      </c>
      <c r="H29" s="19" t="s">
        <v>20</v>
      </c>
      <c r="I29" s="19" t="s">
        <v>20</v>
      </c>
      <c r="J29" s="20" t="s">
        <v>20</v>
      </c>
      <c r="K29" s="18" t="s">
        <v>20</v>
      </c>
      <c r="L29" s="16">
        <f t="shared" si="16"/>
        <v>2</v>
      </c>
      <c r="M29" s="16">
        <v>2</v>
      </c>
      <c r="N29" s="16">
        <v>0</v>
      </c>
      <c r="O29" s="16">
        <v>0</v>
      </c>
      <c r="P29" s="21" t="s">
        <v>20</v>
      </c>
      <c r="Q29" s="21" t="s">
        <v>20</v>
      </c>
      <c r="R29" s="21" t="s">
        <v>20</v>
      </c>
      <c r="S29" s="22" t="s">
        <v>20</v>
      </c>
      <c r="T29" s="23" t="s">
        <v>20</v>
      </c>
      <c r="U29" s="6">
        <f t="shared" si="28"/>
        <v>66.66666666666666</v>
      </c>
      <c r="V29" s="6">
        <f>M29/D29*100</f>
        <v>66.66666666666666</v>
      </c>
      <c r="W29" s="6">
        <v>0</v>
      </c>
      <c r="X29" s="6">
        <v>0</v>
      </c>
      <c r="Y29" s="6">
        <v>0</v>
      </c>
      <c r="Z29" s="17"/>
      <c r="AA29" s="17"/>
      <c r="AB29" s="24"/>
      <c r="AC29" s="18" t="s">
        <v>20</v>
      </c>
      <c r="AD29" s="16">
        <f t="shared" si="25"/>
        <v>3</v>
      </c>
      <c r="AE29" s="16">
        <v>3</v>
      </c>
      <c r="AF29" s="16">
        <v>0</v>
      </c>
      <c r="AG29" s="16">
        <v>0</v>
      </c>
      <c r="AH29" s="21" t="s">
        <v>20</v>
      </c>
      <c r="AI29" s="21" t="s">
        <v>20</v>
      </c>
      <c r="AJ29" s="21" t="s">
        <v>20</v>
      </c>
      <c r="AK29" s="22" t="s">
        <v>20</v>
      </c>
      <c r="AL29" s="23" t="s">
        <v>20</v>
      </c>
      <c r="AM29" s="6">
        <f t="shared" si="3"/>
        <v>150</v>
      </c>
      <c r="AN29" s="6">
        <f t="shared" si="4"/>
        <v>150</v>
      </c>
      <c r="AO29" s="6"/>
      <c r="AP29" s="6">
        <v>0</v>
      </c>
      <c r="AQ29" s="6">
        <v>0</v>
      </c>
      <c r="AR29" s="17"/>
      <c r="AS29" s="17"/>
      <c r="AT29" s="24"/>
      <c r="AU29" s="18" t="s">
        <v>20</v>
      </c>
      <c r="AV29" s="16">
        <f t="shared" si="26"/>
        <v>3</v>
      </c>
      <c r="AW29" s="126">
        <v>3</v>
      </c>
      <c r="AX29" s="16">
        <v>0</v>
      </c>
      <c r="AY29" s="16">
        <v>0</v>
      </c>
      <c r="AZ29" s="21" t="s">
        <v>20</v>
      </c>
      <c r="BA29" s="21" t="s">
        <v>20</v>
      </c>
      <c r="BB29" s="21" t="s">
        <v>20</v>
      </c>
      <c r="BC29" s="22" t="s">
        <v>51</v>
      </c>
      <c r="BD29" s="69" t="e">
        <f t="shared" si="5"/>
        <v>#VALUE!</v>
      </c>
      <c r="BE29" s="11">
        <f t="shared" si="6"/>
        <v>100</v>
      </c>
      <c r="BF29" s="11">
        <f t="shared" si="7"/>
        <v>100</v>
      </c>
      <c r="BG29" s="11" t="e">
        <f t="shared" si="8"/>
        <v>#DIV/0!</v>
      </c>
      <c r="BH29" s="11" t="e">
        <f t="shared" si="9"/>
        <v>#DIV/0!</v>
      </c>
      <c r="BI29" s="11" t="e">
        <f t="shared" si="10"/>
        <v>#VALUE!</v>
      </c>
      <c r="BJ29" s="11" t="e">
        <f t="shared" si="11"/>
        <v>#VALUE!</v>
      </c>
      <c r="BK29" s="11" t="e">
        <f t="shared" si="12"/>
        <v>#VALUE!</v>
      </c>
      <c r="BL29" s="22" t="s">
        <v>51</v>
      </c>
      <c r="BM29" s="18" t="s">
        <v>20</v>
      </c>
      <c r="BN29" s="16">
        <f t="shared" si="27"/>
        <v>3</v>
      </c>
      <c r="BO29" s="126">
        <v>3</v>
      </c>
      <c r="BP29" s="16">
        <v>0</v>
      </c>
      <c r="BQ29" s="16">
        <v>0</v>
      </c>
      <c r="BR29" s="21" t="s">
        <v>20</v>
      </c>
      <c r="BS29" s="21" t="s">
        <v>20</v>
      </c>
      <c r="BT29" s="21" t="s">
        <v>20</v>
      </c>
      <c r="BU29" s="22" t="s">
        <v>51</v>
      </c>
      <c r="BV29" s="226"/>
      <c r="BW29" s="227">
        <f t="shared" si="13"/>
        <v>100</v>
      </c>
      <c r="BX29" s="229">
        <f t="shared" si="24"/>
        <v>100</v>
      </c>
      <c r="BY29" s="229"/>
      <c r="BZ29" s="229"/>
      <c r="CA29" s="227"/>
      <c r="CB29" s="227" t="e">
        <f t="shared" si="14"/>
        <v>#VALUE!</v>
      </c>
      <c r="CC29" s="227" t="e">
        <f t="shared" si="15"/>
        <v>#VALUE!</v>
      </c>
      <c r="CD29" s="228" t="s">
        <v>51</v>
      </c>
    </row>
    <row r="30" spans="1:82" ht="33" customHeight="1">
      <c r="A30" s="299" t="s">
        <v>31</v>
      </c>
      <c r="B30" s="18" t="s">
        <v>20</v>
      </c>
      <c r="C30" s="16">
        <f t="shared" si="2"/>
        <v>3</v>
      </c>
      <c r="D30" s="16">
        <v>3</v>
      </c>
      <c r="E30" s="16">
        <v>0</v>
      </c>
      <c r="F30" s="16">
        <v>0</v>
      </c>
      <c r="G30" s="19" t="s">
        <v>20</v>
      </c>
      <c r="H30" s="19" t="s">
        <v>20</v>
      </c>
      <c r="I30" s="19" t="s">
        <v>20</v>
      </c>
      <c r="J30" s="20" t="s">
        <v>20</v>
      </c>
      <c r="K30" s="18" t="s">
        <v>20</v>
      </c>
      <c r="L30" s="16">
        <f t="shared" si="16"/>
        <v>1</v>
      </c>
      <c r="M30" s="16">
        <v>1</v>
      </c>
      <c r="N30" s="16">
        <v>0</v>
      </c>
      <c r="O30" s="16">
        <v>0</v>
      </c>
      <c r="P30" s="21" t="s">
        <v>20</v>
      </c>
      <c r="Q30" s="21" t="s">
        <v>20</v>
      </c>
      <c r="R30" s="21" t="s">
        <v>20</v>
      </c>
      <c r="S30" s="22" t="s">
        <v>20</v>
      </c>
      <c r="T30" s="23" t="s">
        <v>20</v>
      </c>
      <c r="U30" s="6">
        <f t="shared" si="28"/>
        <v>33.33333333333333</v>
      </c>
      <c r="V30" s="6">
        <v>0</v>
      </c>
      <c r="W30" s="6">
        <v>0</v>
      </c>
      <c r="X30" s="6">
        <v>0</v>
      </c>
      <c r="Y30" s="6">
        <v>0</v>
      </c>
      <c r="Z30" s="17"/>
      <c r="AA30" s="17"/>
      <c r="AB30" s="24"/>
      <c r="AC30" s="18" t="s">
        <v>20</v>
      </c>
      <c r="AD30" s="16">
        <f t="shared" si="25"/>
        <v>0</v>
      </c>
      <c r="AE30" s="16">
        <v>0</v>
      </c>
      <c r="AF30" s="16">
        <v>0</v>
      </c>
      <c r="AG30" s="16">
        <v>0</v>
      </c>
      <c r="AH30" s="21" t="s">
        <v>20</v>
      </c>
      <c r="AI30" s="21" t="s">
        <v>20</v>
      </c>
      <c r="AJ30" s="21" t="s">
        <v>20</v>
      </c>
      <c r="AK30" s="22" t="s">
        <v>20</v>
      </c>
      <c r="AL30" s="23" t="s">
        <v>20</v>
      </c>
      <c r="AM30" s="6">
        <f t="shared" si="3"/>
        <v>0</v>
      </c>
      <c r="AN30" s="6">
        <f t="shared" si="4"/>
        <v>0</v>
      </c>
      <c r="AO30" s="6"/>
      <c r="AP30" s="6">
        <v>0</v>
      </c>
      <c r="AQ30" s="6">
        <v>0</v>
      </c>
      <c r="AR30" s="17"/>
      <c r="AS30" s="17"/>
      <c r="AT30" s="24"/>
      <c r="AU30" s="18" t="s">
        <v>20</v>
      </c>
      <c r="AV30" s="16">
        <f t="shared" si="26"/>
        <v>0</v>
      </c>
      <c r="AW30" s="126">
        <v>0</v>
      </c>
      <c r="AX30" s="16">
        <v>0</v>
      </c>
      <c r="AY30" s="16">
        <v>0</v>
      </c>
      <c r="AZ30" s="21" t="s">
        <v>20</v>
      </c>
      <c r="BA30" s="21" t="s">
        <v>20</v>
      </c>
      <c r="BB30" s="21" t="s">
        <v>20</v>
      </c>
      <c r="BC30" s="22" t="s">
        <v>51</v>
      </c>
      <c r="BD30" s="69" t="e">
        <f t="shared" si="5"/>
        <v>#VALUE!</v>
      </c>
      <c r="BE30" s="11" t="e">
        <f t="shared" si="6"/>
        <v>#DIV/0!</v>
      </c>
      <c r="BF30" s="11" t="e">
        <f t="shared" si="7"/>
        <v>#DIV/0!</v>
      </c>
      <c r="BG30" s="11" t="e">
        <f t="shared" si="8"/>
        <v>#DIV/0!</v>
      </c>
      <c r="BH30" s="11" t="e">
        <f t="shared" si="9"/>
        <v>#DIV/0!</v>
      </c>
      <c r="BI30" s="11" t="e">
        <f t="shared" si="10"/>
        <v>#VALUE!</v>
      </c>
      <c r="BJ30" s="11" t="e">
        <f t="shared" si="11"/>
        <v>#VALUE!</v>
      </c>
      <c r="BK30" s="11" t="e">
        <f t="shared" si="12"/>
        <v>#VALUE!</v>
      </c>
      <c r="BL30" s="22" t="s">
        <v>51</v>
      </c>
      <c r="BM30" s="18" t="s">
        <v>20</v>
      </c>
      <c r="BN30" s="16">
        <f t="shared" si="27"/>
        <v>2</v>
      </c>
      <c r="BO30" s="126">
        <v>2</v>
      </c>
      <c r="BP30" s="16">
        <v>0</v>
      </c>
      <c r="BQ30" s="16">
        <v>0</v>
      </c>
      <c r="BR30" s="21" t="s">
        <v>20</v>
      </c>
      <c r="BS30" s="21" t="s">
        <v>20</v>
      </c>
      <c r="BT30" s="21" t="s">
        <v>20</v>
      </c>
      <c r="BU30" s="22" t="s">
        <v>51</v>
      </c>
      <c r="BV30" s="226"/>
      <c r="BW30" s="227"/>
      <c r="BX30" s="229"/>
      <c r="BY30" s="229"/>
      <c r="BZ30" s="229"/>
      <c r="CA30" s="227"/>
      <c r="CB30" s="227" t="e">
        <f t="shared" si="14"/>
        <v>#VALUE!</v>
      </c>
      <c r="CC30" s="227" t="e">
        <f t="shared" si="15"/>
        <v>#VALUE!</v>
      </c>
      <c r="CD30" s="228" t="s">
        <v>51</v>
      </c>
    </row>
    <row r="31" spans="1:82" ht="24.75" customHeight="1">
      <c r="A31" s="31" t="s">
        <v>32</v>
      </c>
      <c r="B31" s="18" t="s">
        <v>20</v>
      </c>
      <c r="C31" s="16">
        <f t="shared" si="2"/>
        <v>14</v>
      </c>
      <c r="D31" s="16">
        <v>14</v>
      </c>
      <c r="E31" s="16">
        <v>0</v>
      </c>
      <c r="F31" s="16">
        <v>0</v>
      </c>
      <c r="G31" s="19" t="s">
        <v>20</v>
      </c>
      <c r="H31" s="19" t="s">
        <v>20</v>
      </c>
      <c r="I31" s="19" t="s">
        <v>20</v>
      </c>
      <c r="J31" s="20" t="s">
        <v>20</v>
      </c>
      <c r="K31" s="18" t="s">
        <v>20</v>
      </c>
      <c r="L31" s="16">
        <f t="shared" si="16"/>
        <v>19</v>
      </c>
      <c r="M31" s="16">
        <v>19</v>
      </c>
      <c r="N31" s="16">
        <v>0</v>
      </c>
      <c r="O31" s="16">
        <v>0</v>
      </c>
      <c r="P31" s="21" t="s">
        <v>20</v>
      </c>
      <c r="Q31" s="21" t="s">
        <v>20</v>
      </c>
      <c r="R31" s="21" t="s">
        <v>20</v>
      </c>
      <c r="S31" s="22" t="s">
        <v>20</v>
      </c>
      <c r="T31" s="23" t="s">
        <v>20</v>
      </c>
      <c r="U31" s="6">
        <f t="shared" si="28"/>
        <v>135.71428571428572</v>
      </c>
      <c r="V31" s="6">
        <f>M31/D31*100</f>
        <v>135.71428571428572</v>
      </c>
      <c r="W31" s="6">
        <v>0</v>
      </c>
      <c r="X31" s="6">
        <v>0</v>
      </c>
      <c r="Y31" s="6">
        <v>0</v>
      </c>
      <c r="Z31" s="17"/>
      <c r="AA31" s="17"/>
      <c r="AB31" s="24"/>
      <c r="AC31" s="18" t="s">
        <v>20</v>
      </c>
      <c r="AD31" s="16">
        <f t="shared" si="25"/>
        <v>12</v>
      </c>
      <c r="AE31" s="16">
        <v>12</v>
      </c>
      <c r="AF31" s="16">
        <v>0</v>
      </c>
      <c r="AG31" s="16">
        <v>0</v>
      </c>
      <c r="AH31" s="21" t="s">
        <v>20</v>
      </c>
      <c r="AI31" s="21" t="s">
        <v>20</v>
      </c>
      <c r="AJ31" s="21" t="s">
        <v>20</v>
      </c>
      <c r="AK31" s="22" t="s">
        <v>20</v>
      </c>
      <c r="AL31" s="23" t="s">
        <v>20</v>
      </c>
      <c r="AM31" s="6">
        <f t="shared" si="3"/>
        <v>63.1578947368421</v>
      </c>
      <c r="AN31" s="6">
        <f t="shared" si="4"/>
        <v>63.1578947368421</v>
      </c>
      <c r="AO31" s="6"/>
      <c r="AP31" s="6">
        <v>0</v>
      </c>
      <c r="AQ31" s="6">
        <v>0</v>
      </c>
      <c r="AR31" s="17"/>
      <c r="AS31" s="17"/>
      <c r="AT31" s="24"/>
      <c r="AU31" s="18" t="s">
        <v>20</v>
      </c>
      <c r="AV31" s="16">
        <f t="shared" si="26"/>
        <v>18</v>
      </c>
      <c r="AW31" s="126">
        <v>18</v>
      </c>
      <c r="AX31" s="16">
        <v>0</v>
      </c>
      <c r="AY31" s="16">
        <v>0</v>
      </c>
      <c r="AZ31" s="21" t="s">
        <v>20</v>
      </c>
      <c r="BA31" s="21" t="s">
        <v>20</v>
      </c>
      <c r="BB31" s="21" t="s">
        <v>20</v>
      </c>
      <c r="BC31" s="22" t="s">
        <v>51</v>
      </c>
      <c r="BD31" s="69" t="e">
        <f t="shared" si="5"/>
        <v>#VALUE!</v>
      </c>
      <c r="BE31" s="11">
        <f t="shared" si="6"/>
        <v>150</v>
      </c>
      <c r="BF31" s="11">
        <f t="shared" si="7"/>
        <v>150</v>
      </c>
      <c r="BG31" s="11" t="e">
        <f t="shared" si="8"/>
        <v>#DIV/0!</v>
      </c>
      <c r="BH31" s="11" t="e">
        <f t="shared" si="9"/>
        <v>#DIV/0!</v>
      </c>
      <c r="BI31" s="11" t="e">
        <f t="shared" si="10"/>
        <v>#VALUE!</v>
      </c>
      <c r="BJ31" s="11" t="e">
        <f t="shared" si="11"/>
        <v>#VALUE!</v>
      </c>
      <c r="BK31" s="11" t="e">
        <f t="shared" si="12"/>
        <v>#VALUE!</v>
      </c>
      <c r="BL31" s="22" t="s">
        <v>51</v>
      </c>
      <c r="BM31" s="18" t="s">
        <v>20</v>
      </c>
      <c r="BN31" s="16">
        <f t="shared" si="27"/>
        <v>19</v>
      </c>
      <c r="BO31" s="126">
        <v>19</v>
      </c>
      <c r="BP31" s="16">
        <v>0</v>
      </c>
      <c r="BQ31" s="16">
        <v>0</v>
      </c>
      <c r="BR31" s="21" t="s">
        <v>20</v>
      </c>
      <c r="BS31" s="21" t="s">
        <v>20</v>
      </c>
      <c r="BT31" s="21" t="s">
        <v>20</v>
      </c>
      <c r="BU31" s="22" t="s">
        <v>51</v>
      </c>
      <c r="BV31" s="226"/>
      <c r="BW31" s="227">
        <f t="shared" si="13"/>
        <v>105.55555555555556</v>
      </c>
      <c r="BX31" s="229">
        <f t="shared" si="24"/>
        <v>105.55555555555556</v>
      </c>
      <c r="BY31" s="229"/>
      <c r="BZ31" s="229"/>
      <c r="CA31" s="227"/>
      <c r="CB31" s="227" t="e">
        <f t="shared" si="14"/>
        <v>#VALUE!</v>
      </c>
      <c r="CC31" s="227" t="e">
        <f t="shared" si="15"/>
        <v>#VALUE!</v>
      </c>
      <c r="CD31" s="228" t="s">
        <v>51</v>
      </c>
    </row>
    <row r="32" spans="1:82" ht="20.25" customHeight="1" thickBot="1">
      <c r="A32" s="15" t="s">
        <v>33</v>
      </c>
      <c r="B32" s="35" t="s">
        <v>20</v>
      </c>
      <c r="C32" s="32">
        <f t="shared" si="2"/>
        <v>35</v>
      </c>
      <c r="D32" s="32">
        <v>35</v>
      </c>
      <c r="E32" s="32">
        <v>0</v>
      </c>
      <c r="F32" s="32">
        <v>0</v>
      </c>
      <c r="G32" s="36" t="s">
        <v>20</v>
      </c>
      <c r="H32" s="36" t="s">
        <v>20</v>
      </c>
      <c r="I32" s="36" t="s">
        <v>20</v>
      </c>
      <c r="J32" s="37" t="s">
        <v>20</v>
      </c>
      <c r="K32" s="35" t="s">
        <v>20</v>
      </c>
      <c r="L32" s="32">
        <f t="shared" si="16"/>
        <v>32</v>
      </c>
      <c r="M32" s="32">
        <v>32</v>
      </c>
      <c r="N32" s="32">
        <v>0</v>
      </c>
      <c r="O32" s="32">
        <v>0</v>
      </c>
      <c r="P32" s="38" t="s">
        <v>20</v>
      </c>
      <c r="Q32" s="38" t="s">
        <v>20</v>
      </c>
      <c r="R32" s="38" t="s">
        <v>20</v>
      </c>
      <c r="S32" s="39" t="s">
        <v>20</v>
      </c>
      <c r="T32" s="40" t="s">
        <v>20</v>
      </c>
      <c r="U32" s="34">
        <f t="shared" si="28"/>
        <v>91.42857142857143</v>
      </c>
      <c r="V32" s="34">
        <f>M32/D32*100</f>
        <v>91.42857142857143</v>
      </c>
      <c r="W32" s="34">
        <v>0</v>
      </c>
      <c r="X32" s="34">
        <v>0</v>
      </c>
      <c r="Y32" s="34">
        <v>0</v>
      </c>
      <c r="Z32" s="33"/>
      <c r="AA32" s="33"/>
      <c r="AB32" s="41"/>
      <c r="AC32" s="35" t="s">
        <v>20</v>
      </c>
      <c r="AD32" s="32">
        <f t="shared" si="25"/>
        <v>28</v>
      </c>
      <c r="AE32" s="32">
        <v>28</v>
      </c>
      <c r="AF32" s="32">
        <v>0</v>
      </c>
      <c r="AG32" s="32">
        <v>0</v>
      </c>
      <c r="AH32" s="38" t="s">
        <v>20</v>
      </c>
      <c r="AI32" s="38" t="s">
        <v>20</v>
      </c>
      <c r="AJ32" s="38" t="s">
        <v>20</v>
      </c>
      <c r="AK32" s="39" t="s">
        <v>20</v>
      </c>
      <c r="AL32" s="40" t="s">
        <v>20</v>
      </c>
      <c r="AM32" s="34">
        <f t="shared" si="3"/>
        <v>87.5</v>
      </c>
      <c r="AN32" s="34">
        <f t="shared" si="4"/>
        <v>87.5</v>
      </c>
      <c r="AO32" s="34"/>
      <c r="AP32" s="34">
        <v>0</v>
      </c>
      <c r="AQ32" s="34">
        <v>0</v>
      </c>
      <c r="AR32" s="33"/>
      <c r="AS32" s="33"/>
      <c r="AT32" s="41"/>
      <c r="AU32" s="35" t="s">
        <v>20</v>
      </c>
      <c r="AV32" s="32">
        <f t="shared" si="26"/>
        <v>10</v>
      </c>
      <c r="AW32" s="128">
        <v>10</v>
      </c>
      <c r="AX32" s="32">
        <v>0</v>
      </c>
      <c r="AY32" s="32">
        <v>0</v>
      </c>
      <c r="AZ32" s="38" t="s">
        <v>20</v>
      </c>
      <c r="BA32" s="38" t="s">
        <v>20</v>
      </c>
      <c r="BB32" s="38" t="s">
        <v>20</v>
      </c>
      <c r="BC32" s="39" t="s">
        <v>51</v>
      </c>
      <c r="BD32" s="69" t="e">
        <f t="shared" si="5"/>
        <v>#VALUE!</v>
      </c>
      <c r="BE32" s="11">
        <f t="shared" si="6"/>
        <v>35.714285714285715</v>
      </c>
      <c r="BF32" s="11">
        <f t="shared" si="7"/>
        <v>35.714285714285715</v>
      </c>
      <c r="BG32" s="11" t="e">
        <f t="shared" si="8"/>
        <v>#DIV/0!</v>
      </c>
      <c r="BH32" s="11" t="e">
        <f t="shared" si="9"/>
        <v>#DIV/0!</v>
      </c>
      <c r="BI32" s="11" t="e">
        <f t="shared" si="10"/>
        <v>#VALUE!</v>
      </c>
      <c r="BJ32" s="11" t="e">
        <f t="shared" si="11"/>
        <v>#VALUE!</v>
      </c>
      <c r="BK32" s="11" t="e">
        <f t="shared" si="12"/>
        <v>#VALUE!</v>
      </c>
      <c r="BL32" s="22" t="s">
        <v>51</v>
      </c>
      <c r="BM32" s="35" t="s">
        <v>20</v>
      </c>
      <c r="BN32" s="32">
        <f t="shared" si="27"/>
        <v>10</v>
      </c>
      <c r="BO32" s="128">
        <v>10</v>
      </c>
      <c r="BP32" s="32">
        <v>0</v>
      </c>
      <c r="BQ32" s="32">
        <v>0</v>
      </c>
      <c r="BR32" s="38" t="s">
        <v>20</v>
      </c>
      <c r="BS32" s="38" t="s">
        <v>20</v>
      </c>
      <c r="BT32" s="38" t="s">
        <v>20</v>
      </c>
      <c r="BU32" s="39" t="s">
        <v>51</v>
      </c>
      <c r="BV32" s="230"/>
      <c r="BW32" s="231">
        <f>BN32/AV32*100</f>
        <v>100</v>
      </c>
      <c r="BX32" s="232">
        <f t="shared" si="24"/>
        <v>100</v>
      </c>
      <c r="BY32" s="232"/>
      <c r="BZ32" s="232"/>
      <c r="CA32" s="231"/>
      <c r="CB32" s="231" t="e">
        <f t="shared" si="14"/>
        <v>#VALUE!</v>
      </c>
      <c r="CC32" s="231" t="e">
        <f t="shared" si="15"/>
        <v>#VALUE!</v>
      </c>
      <c r="CD32" s="233" t="s">
        <v>51</v>
      </c>
    </row>
    <row r="33" spans="1:28" ht="9.75">
      <c r="A33" s="48" t="s">
        <v>34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</row>
    <row r="34" spans="1:28" ht="9.75">
      <c r="A34" s="7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</row>
    <row r="35" spans="1:28" ht="9.75">
      <c r="A35" s="7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</row>
    <row r="36" spans="1:28" ht="9.75">
      <c r="A36" s="7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</row>
    <row r="37" spans="1:28" ht="9.75">
      <c r="A37" s="7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</row>
    <row r="38" spans="1:28" ht="9.75">
      <c r="A38" s="7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</row>
    <row r="39" spans="1:28" ht="9.75">
      <c r="A39" s="7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</row>
    <row r="40" spans="1:28" ht="9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9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9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9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9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9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9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9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9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9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9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</sheetData>
  <sheetProtection/>
  <mergeCells count="66">
    <mergeCell ref="AE5:AG5"/>
    <mergeCell ref="AN5:AP5"/>
    <mergeCell ref="AQ5:AQ6"/>
    <mergeCell ref="BR5:BR6"/>
    <mergeCell ref="BS5:BU5"/>
    <mergeCell ref="AW5:AY5"/>
    <mergeCell ref="AZ5:AZ6"/>
    <mergeCell ref="BA5:BC5"/>
    <mergeCell ref="T3:AB3"/>
    <mergeCell ref="Q5:S5"/>
    <mergeCell ref="AC3:AK3"/>
    <mergeCell ref="AL3:AT3"/>
    <mergeCell ref="AC4:AC6"/>
    <mergeCell ref="AD4:AK4"/>
    <mergeCell ref="AL4:AL6"/>
    <mergeCell ref="AM4:AT4"/>
    <mergeCell ref="Z5:AB5"/>
    <mergeCell ref="L4:S4"/>
    <mergeCell ref="T4:T6"/>
    <mergeCell ref="U4:AB4"/>
    <mergeCell ref="A2:CA2"/>
    <mergeCell ref="BM3:BU3"/>
    <mergeCell ref="BM4:BM6"/>
    <mergeCell ref="BN4:BU4"/>
    <mergeCell ref="BN5:BN6"/>
    <mergeCell ref="BO5:BQ5"/>
    <mergeCell ref="C4:J4"/>
    <mergeCell ref="K4:K6"/>
    <mergeCell ref="U5:U6"/>
    <mergeCell ref="V5:X5"/>
    <mergeCell ref="Y5:Y6"/>
    <mergeCell ref="BE5:BE6"/>
    <mergeCell ref="BF5:BH5"/>
    <mergeCell ref="AR5:AT5"/>
    <mergeCell ref="AU4:AU6"/>
    <mergeCell ref="AV4:BC4"/>
    <mergeCell ref="BD4:BD6"/>
    <mergeCell ref="AD5:AD6"/>
    <mergeCell ref="B4:B6"/>
    <mergeCell ref="B3:J3"/>
    <mergeCell ref="K3:S3"/>
    <mergeCell ref="H5:J5"/>
    <mergeCell ref="C5:C6"/>
    <mergeCell ref="D5:F5"/>
    <mergeCell ref="G5:G6"/>
    <mergeCell ref="P5:P6"/>
    <mergeCell ref="BE4:BL4"/>
    <mergeCell ref="AV5:AV6"/>
    <mergeCell ref="A3:A6"/>
    <mergeCell ref="BI5:BI6"/>
    <mergeCell ref="BJ5:BL5"/>
    <mergeCell ref="L5:L6"/>
    <mergeCell ref="M5:O5"/>
    <mergeCell ref="AH5:AH6"/>
    <mergeCell ref="AI5:AK5"/>
    <mergeCell ref="AM5:AM6"/>
    <mergeCell ref="A1:CA1"/>
    <mergeCell ref="BV3:CD3"/>
    <mergeCell ref="BV4:BV6"/>
    <mergeCell ref="BW4:CD4"/>
    <mergeCell ref="BW5:BW6"/>
    <mergeCell ref="BX5:BZ5"/>
    <mergeCell ref="CA5:CA6"/>
    <mergeCell ref="CB5:CD5"/>
    <mergeCell ref="AU3:BC3"/>
    <mergeCell ref="BD3:BL3"/>
  </mergeCells>
  <printOptions/>
  <pageMargins left="0.1968503937007874" right="0.2362204724409449" top="0.5118110236220472" bottom="0.2755905511811024" header="0.31496062992125984" footer="0.31496062992125984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50"/>
  <sheetViews>
    <sheetView zoomScale="79" zoomScaleNormal="79" zoomScalePageLayoutView="0" workbookViewId="0" topLeftCell="A4">
      <pane ySplit="900" topLeftCell="A4" activePane="bottomLeft" state="split"/>
      <selection pane="topLeft" activeCell="D6" sqref="D1:D16384"/>
      <selection pane="bottomLeft" activeCell="BX35" sqref="BX35"/>
    </sheetView>
  </sheetViews>
  <sheetFormatPr defaultColWidth="9.140625" defaultRowHeight="15"/>
  <cols>
    <col min="1" max="1" width="18.28125" style="47" customWidth="1"/>
    <col min="2" max="2" width="4.140625" style="7" customWidth="1"/>
    <col min="3" max="3" width="7.140625" style="7" customWidth="1"/>
    <col min="4" max="4" width="7.28125" style="7" customWidth="1"/>
    <col min="5" max="5" width="7.00390625" style="7" customWidth="1"/>
    <col min="6" max="7" width="4.28125" style="7" customWidth="1"/>
    <col min="8" max="10" width="5.57421875" style="7" hidden="1" customWidth="1"/>
    <col min="11" max="11" width="4.28125" style="7" customWidth="1"/>
    <col min="12" max="12" width="7.28125" style="7" customWidth="1"/>
    <col min="13" max="13" width="7.421875" style="7" customWidth="1"/>
    <col min="14" max="14" width="7.28125" style="7" customWidth="1"/>
    <col min="15" max="15" width="4.7109375" style="7" customWidth="1"/>
    <col min="16" max="16" width="4.57421875" style="7" customWidth="1"/>
    <col min="17" max="17" width="4.8515625" style="7" hidden="1" customWidth="1"/>
    <col min="18" max="19" width="5.57421875" style="7" hidden="1" customWidth="1"/>
    <col min="20" max="20" width="3.421875" style="7" hidden="1" customWidth="1"/>
    <col min="21" max="21" width="3.28125" style="7" hidden="1" customWidth="1"/>
    <col min="22" max="22" width="3.7109375" style="7" hidden="1" customWidth="1"/>
    <col min="23" max="23" width="3.421875" style="7" hidden="1" customWidth="1"/>
    <col min="24" max="24" width="4.421875" style="7" hidden="1" customWidth="1"/>
    <col min="25" max="25" width="3.421875" style="7" hidden="1" customWidth="1"/>
    <col min="26" max="26" width="0.13671875" style="7" hidden="1" customWidth="1"/>
    <col min="27" max="27" width="3.7109375" style="7" hidden="1" customWidth="1"/>
    <col min="28" max="28" width="4.140625" style="7" hidden="1" customWidth="1"/>
    <col min="29" max="29" width="17.57421875" style="7" hidden="1" customWidth="1"/>
    <col min="30" max="30" width="4.421875" style="7" customWidth="1"/>
    <col min="31" max="33" width="7.28125" style="7" customWidth="1"/>
    <col min="34" max="34" width="4.140625" style="7" customWidth="1"/>
    <col min="35" max="35" width="4.28125" style="7" customWidth="1"/>
    <col min="36" max="36" width="0.13671875" style="7" hidden="1" customWidth="1"/>
    <col min="37" max="37" width="3.7109375" style="7" hidden="1" customWidth="1"/>
    <col min="38" max="38" width="4.00390625" style="7" hidden="1" customWidth="1"/>
    <col min="39" max="40" width="3.8515625" style="7" hidden="1" customWidth="1"/>
    <col min="41" max="41" width="3.28125" style="7" hidden="1" customWidth="1"/>
    <col min="42" max="43" width="4.7109375" style="7" hidden="1" customWidth="1"/>
    <col min="44" max="44" width="3.7109375" style="7" hidden="1" customWidth="1"/>
    <col min="45" max="45" width="4.140625" style="7" hidden="1" customWidth="1"/>
    <col min="46" max="46" width="4.28125" style="7" hidden="1" customWidth="1"/>
    <col min="47" max="47" width="4.00390625" style="7" hidden="1" customWidth="1"/>
    <col min="48" max="48" width="12.28125" style="7" hidden="1" customWidth="1"/>
    <col min="49" max="49" width="4.28125" style="7" customWidth="1"/>
    <col min="50" max="50" width="7.28125" style="7" customWidth="1"/>
    <col min="51" max="52" width="7.00390625" style="7" customWidth="1"/>
    <col min="53" max="53" width="3.7109375" style="7" customWidth="1"/>
    <col min="54" max="54" width="4.421875" style="7" customWidth="1"/>
    <col min="55" max="55" width="3.00390625" style="7" hidden="1" customWidth="1"/>
    <col min="56" max="56" width="3.140625" style="7" hidden="1" customWidth="1"/>
    <col min="57" max="57" width="3.28125" style="7" hidden="1" customWidth="1"/>
    <col min="58" max="58" width="0.13671875" style="7" customWidth="1"/>
    <col min="59" max="59" width="3.7109375" style="7" hidden="1" customWidth="1"/>
    <col min="60" max="60" width="4.28125" style="7" hidden="1" customWidth="1"/>
    <col min="61" max="61" width="3.7109375" style="7" hidden="1" customWidth="1"/>
    <col min="62" max="62" width="4.28125" style="7" hidden="1" customWidth="1"/>
    <col min="63" max="63" width="4.140625" style="7" hidden="1" customWidth="1"/>
    <col min="64" max="64" width="0.13671875" style="7" hidden="1" customWidth="1"/>
    <col min="65" max="65" width="6.28125" style="7" hidden="1" customWidth="1"/>
    <col min="66" max="66" width="6.8515625" style="7" hidden="1" customWidth="1"/>
    <col min="67" max="67" width="4.140625" style="7" customWidth="1"/>
    <col min="68" max="69" width="7.28125" style="7" customWidth="1"/>
    <col min="70" max="70" width="7.57421875" style="7" customWidth="1"/>
    <col min="71" max="71" width="4.28125" style="7" customWidth="1"/>
    <col min="72" max="72" width="4.421875" style="7" customWidth="1"/>
    <col min="73" max="73" width="0.13671875" style="7" hidden="1" customWidth="1"/>
    <col min="74" max="74" width="5.7109375" style="7" hidden="1" customWidth="1"/>
    <col min="75" max="75" width="5.140625" style="7" hidden="1" customWidth="1"/>
    <col min="76" max="77" width="3.421875" style="7" customWidth="1"/>
    <col min="78" max="78" width="4.140625" style="7" customWidth="1"/>
    <col min="79" max="79" width="4.7109375" style="7" customWidth="1"/>
    <col min="80" max="81" width="4.140625" style="7" customWidth="1"/>
    <col min="82" max="82" width="0.13671875" style="7" hidden="1" customWidth="1"/>
    <col min="83" max="84" width="8.8515625" style="7" hidden="1" customWidth="1"/>
    <col min="85" max="16384" width="8.8515625" style="7" customWidth="1"/>
  </cols>
  <sheetData>
    <row r="1" spans="1:63" ht="9.75">
      <c r="A1" s="324" t="s">
        <v>37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  <c r="AW1" s="324"/>
      <c r="AX1" s="324"/>
      <c r="AY1" s="324"/>
      <c r="AZ1" s="324"/>
      <c r="BA1" s="324"/>
      <c r="BB1" s="324"/>
      <c r="BC1" s="324"/>
      <c r="BD1" s="324"/>
      <c r="BE1" s="324"/>
      <c r="BF1" s="324"/>
      <c r="BG1" s="324"/>
      <c r="BH1" s="324"/>
      <c r="BI1" s="324"/>
      <c r="BJ1" s="324"/>
      <c r="BK1" s="324"/>
    </row>
    <row r="2" spans="1:63" ht="14.25" customHeight="1">
      <c r="A2" s="348" t="s">
        <v>47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</row>
    <row r="3" spans="1:47" ht="9.75" customHeight="1" thickBot="1">
      <c r="A3" s="67"/>
      <c r="B3" s="349"/>
      <c r="C3" s="349"/>
      <c r="D3" s="349"/>
      <c r="E3" s="349"/>
      <c r="F3" s="349"/>
      <c r="G3" s="349"/>
      <c r="H3" s="349"/>
      <c r="I3" s="349"/>
      <c r="J3" s="349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</row>
    <row r="4" spans="1:84" ht="9" customHeight="1">
      <c r="A4" s="347"/>
      <c r="B4" s="306">
        <v>2018</v>
      </c>
      <c r="C4" s="307"/>
      <c r="D4" s="307"/>
      <c r="E4" s="307"/>
      <c r="F4" s="307"/>
      <c r="G4" s="307"/>
      <c r="H4" s="307"/>
      <c r="I4" s="307"/>
      <c r="J4" s="319"/>
      <c r="K4" s="306">
        <v>2019</v>
      </c>
      <c r="L4" s="307"/>
      <c r="M4" s="307"/>
      <c r="N4" s="307"/>
      <c r="O4" s="307"/>
      <c r="P4" s="307"/>
      <c r="Q4" s="307"/>
      <c r="R4" s="307"/>
      <c r="S4" s="319"/>
      <c r="T4" s="306" t="s">
        <v>11</v>
      </c>
      <c r="U4" s="307"/>
      <c r="V4" s="307"/>
      <c r="W4" s="307"/>
      <c r="X4" s="307"/>
      <c r="Y4" s="307"/>
      <c r="Z4" s="307"/>
      <c r="AA4" s="307"/>
      <c r="AB4" s="319"/>
      <c r="AC4" s="124"/>
      <c r="AD4" s="306">
        <v>2020</v>
      </c>
      <c r="AE4" s="307"/>
      <c r="AF4" s="307"/>
      <c r="AG4" s="307"/>
      <c r="AH4" s="307"/>
      <c r="AI4" s="307"/>
      <c r="AJ4" s="307"/>
      <c r="AK4" s="307"/>
      <c r="AL4" s="319"/>
      <c r="AM4" s="342" t="s">
        <v>43</v>
      </c>
      <c r="AN4" s="343"/>
      <c r="AO4" s="343"/>
      <c r="AP4" s="343"/>
      <c r="AQ4" s="343"/>
      <c r="AR4" s="343"/>
      <c r="AS4" s="343"/>
      <c r="AT4" s="343"/>
      <c r="AU4" s="346"/>
      <c r="AV4" s="148"/>
      <c r="AW4" s="306">
        <v>2021</v>
      </c>
      <c r="AX4" s="307"/>
      <c r="AY4" s="307"/>
      <c r="AZ4" s="307"/>
      <c r="BA4" s="307"/>
      <c r="BB4" s="307"/>
      <c r="BC4" s="307"/>
      <c r="BD4" s="307"/>
      <c r="BE4" s="319"/>
      <c r="BF4" s="342" t="s">
        <v>50</v>
      </c>
      <c r="BG4" s="343"/>
      <c r="BH4" s="343"/>
      <c r="BI4" s="343"/>
      <c r="BJ4" s="343"/>
      <c r="BK4" s="343"/>
      <c r="BL4" s="343"/>
      <c r="BM4" s="343"/>
      <c r="BN4" s="344"/>
      <c r="BO4" s="306">
        <v>2022</v>
      </c>
      <c r="BP4" s="307"/>
      <c r="BQ4" s="307"/>
      <c r="BR4" s="307"/>
      <c r="BS4" s="307"/>
      <c r="BT4" s="307"/>
      <c r="BU4" s="307"/>
      <c r="BV4" s="307"/>
      <c r="BW4" s="308"/>
      <c r="BX4" s="342" t="s">
        <v>52</v>
      </c>
      <c r="BY4" s="343"/>
      <c r="BZ4" s="343"/>
      <c r="CA4" s="343"/>
      <c r="CB4" s="343"/>
      <c r="CC4" s="343"/>
      <c r="CD4" s="343"/>
      <c r="CE4" s="343"/>
      <c r="CF4" s="344"/>
    </row>
    <row r="5" spans="1:84" ht="9.75">
      <c r="A5" s="347"/>
      <c r="B5" s="312"/>
      <c r="C5" s="313" t="s">
        <v>7</v>
      </c>
      <c r="D5" s="313" t="s">
        <v>12</v>
      </c>
      <c r="E5" s="313"/>
      <c r="F5" s="313"/>
      <c r="G5" s="313" t="s">
        <v>8</v>
      </c>
      <c r="H5" s="313" t="s">
        <v>12</v>
      </c>
      <c r="I5" s="313"/>
      <c r="J5" s="317"/>
      <c r="K5" s="312"/>
      <c r="L5" s="345" t="s">
        <v>7</v>
      </c>
      <c r="M5" s="313" t="s">
        <v>12</v>
      </c>
      <c r="N5" s="313"/>
      <c r="O5" s="313"/>
      <c r="P5" s="313" t="s">
        <v>8</v>
      </c>
      <c r="Q5" s="313" t="s">
        <v>12</v>
      </c>
      <c r="R5" s="313"/>
      <c r="S5" s="317"/>
      <c r="T5" s="312"/>
      <c r="U5" s="313" t="s">
        <v>7</v>
      </c>
      <c r="V5" s="313" t="s">
        <v>12</v>
      </c>
      <c r="W5" s="313"/>
      <c r="X5" s="313"/>
      <c r="Y5" s="313" t="s">
        <v>8</v>
      </c>
      <c r="Z5" s="313" t="s">
        <v>12</v>
      </c>
      <c r="AA5" s="313"/>
      <c r="AB5" s="317"/>
      <c r="AC5" s="120"/>
      <c r="AD5" s="312"/>
      <c r="AE5" s="345" t="s">
        <v>7</v>
      </c>
      <c r="AF5" s="313" t="s">
        <v>12</v>
      </c>
      <c r="AG5" s="313"/>
      <c r="AH5" s="313"/>
      <c r="AI5" s="313" t="s">
        <v>8</v>
      </c>
      <c r="AJ5" s="313" t="s">
        <v>12</v>
      </c>
      <c r="AK5" s="313"/>
      <c r="AL5" s="317"/>
      <c r="AM5" s="312"/>
      <c r="AN5" s="313" t="s">
        <v>7</v>
      </c>
      <c r="AO5" s="313" t="s">
        <v>12</v>
      </c>
      <c r="AP5" s="313"/>
      <c r="AQ5" s="313"/>
      <c r="AR5" s="313" t="s">
        <v>8</v>
      </c>
      <c r="AS5" s="313" t="s">
        <v>12</v>
      </c>
      <c r="AT5" s="313"/>
      <c r="AU5" s="314"/>
      <c r="AV5" s="149"/>
      <c r="AW5" s="312"/>
      <c r="AX5" s="345" t="s">
        <v>7</v>
      </c>
      <c r="AY5" s="313" t="s">
        <v>12</v>
      </c>
      <c r="AZ5" s="313"/>
      <c r="BA5" s="313"/>
      <c r="BB5" s="313" t="s">
        <v>8</v>
      </c>
      <c r="BC5" s="313" t="s">
        <v>12</v>
      </c>
      <c r="BD5" s="313"/>
      <c r="BE5" s="317"/>
      <c r="BF5" s="312"/>
      <c r="BG5" s="313" t="s">
        <v>7</v>
      </c>
      <c r="BH5" s="313" t="s">
        <v>12</v>
      </c>
      <c r="BI5" s="313"/>
      <c r="BJ5" s="313"/>
      <c r="BK5" s="313" t="s">
        <v>8</v>
      </c>
      <c r="BL5" s="313" t="s">
        <v>12</v>
      </c>
      <c r="BM5" s="313"/>
      <c r="BN5" s="317"/>
      <c r="BO5" s="312"/>
      <c r="BP5" s="345" t="s">
        <v>7</v>
      </c>
      <c r="BQ5" s="313" t="s">
        <v>12</v>
      </c>
      <c r="BR5" s="313"/>
      <c r="BS5" s="313"/>
      <c r="BT5" s="313" t="s">
        <v>8</v>
      </c>
      <c r="BU5" s="313" t="s">
        <v>12</v>
      </c>
      <c r="BV5" s="313"/>
      <c r="BW5" s="314"/>
      <c r="BX5" s="312"/>
      <c r="BY5" s="313" t="s">
        <v>7</v>
      </c>
      <c r="BZ5" s="313" t="s">
        <v>12</v>
      </c>
      <c r="CA5" s="313"/>
      <c r="CB5" s="313"/>
      <c r="CC5" s="313" t="s">
        <v>8</v>
      </c>
      <c r="CD5" s="313" t="s">
        <v>12</v>
      </c>
      <c r="CE5" s="313"/>
      <c r="CF5" s="317"/>
    </row>
    <row r="6" spans="1:84" ht="9.75" customHeight="1">
      <c r="A6" s="347"/>
      <c r="B6" s="312"/>
      <c r="C6" s="313"/>
      <c r="D6" s="49" t="s">
        <v>17</v>
      </c>
      <c r="E6" s="49" t="s">
        <v>18</v>
      </c>
      <c r="F6" s="49" t="s">
        <v>19</v>
      </c>
      <c r="G6" s="313"/>
      <c r="H6" s="49" t="s">
        <v>17</v>
      </c>
      <c r="I6" s="49" t="s">
        <v>18</v>
      </c>
      <c r="J6" s="50" t="s">
        <v>19</v>
      </c>
      <c r="K6" s="312"/>
      <c r="L6" s="345"/>
      <c r="M6" s="49" t="s">
        <v>17</v>
      </c>
      <c r="N6" s="49" t="s">
        <v>18</v>
      </c>
      <c r="O6" s="49" t="s">
        <v>19</v>
      </c>
      <c r="P6" s="313"/>
      <c r="Q6" s="49" t="s">
        <v>17</v>
      </c>
      <c r="R6" s="49" t="s">
        <v>18</v>
      </c>
      <c r="S6" s="50" t="s">
        <v>19</v>
      </c>
      <c r="T6" s="312"/>
      <c r="U6" s="313"/>
      <c r="V6" s="49" t="s">
        <v>17</v>
      </c>
      <c r="W6" s="49" t="s">
        <v>18</v>
      </c>
      <c r="X6" s="49" t="s">
        <v>19</v>
      </c>
      <c r="Y6" s="313"/>
      <c r="Z6" s="49" t="s">
        <v>17</v>
      </c>
      <c r="AA6" s="49" t="s">
        <v>18</v>
      </c>
      <c r="AB6" s="49" t="s">
        <v>19</v>
      </c>
      <c r="AC6" s="120"/>
      <c r="AD6" s="312"/>
      <c r="AE6" s="345"/>
      <c r="AF6" s="49" t="s">
        <v>17</v>
      </c>
      <c r="AG6" s="49" t="s">
        <v>18</v>
      </c>
      <c r="AH6" s="49" t="s">
        <v>19</v>
      </c>
      <c r="AI6" s="313"/>
      <c r="AJ6" s="49" t="s">
        <v>17</v>
      </c>
      <c r="AK6" s="49" t="s">
        <v>18</v>
      </c>
      <c r="AL6" s="50" t="s">
        <v>19</v>
      </c>
      <c r="AM6" s="312"/>
      <c r="AN6" s="313"/>
      <c r="AO6" s="49" t="s">
        <v>17</v>
      </c>
      <c r="AP6" s="49" t="s">
        <v>18</v>
      </c>
      <c r="AQ6" s="49" t="s">
        <v>19</v>
      </c>
      <c r="AR6" s="313"/>
      <c r="AS6" s="49" t="s">
        <v>17</v>
      </c>
      <c r="AT6" s="49" t="s">
        <v>18</v>
      </c>
      <c r="AU6" s="82" t="s">
        <v>19</v>
      </c>
      <c r="AV6" s="149"/>
      <c r="AW6" s="312"/>
      <c r="AX6" s="345"/>
      <c r="AY6" s="49" t="s">
        <v>17</v>
      </c>
      <c r="AZ6" s="49" t="s">
        <v>18</v>
      </c>
      <c r="BA6" s="49" t="s">
        <v>19</v>
      </c>
      <c r="BB6" s="313"/>
      <c r="BC6" s="49" t="s">
        <v>17</v>
      </c>
      <c r="BD6" s="49" t="s">
        <v>18</v>
      </c>
      <c r="BE6" s="49" t="s">
        <v>19</v>
      </c>
      <c r="BF6" s="312"/>
      <c r="BG6" s="313"/>
      <c r="BH6" s="49" t="s">
        <v>17</v>
      </c>
      <c r="BI6" s="49" t="s">
        <v>18</v>
      </c>
      <c r="BJ6" s="49" t="s">
        <v>19</v>
      </c>
      <c r="BK6" s="313"/>
      <c r="BL6" s="49" t="s">
        <v>17</v>
      </c>
      <c r="BM6" s="49" t="s">
        <v>18</v>
      </c>
      <c r="BN6" s="50" t="s">
        <v>19</v>
      </c>
      <c r="BO6" s="312"/>
      <c r="BP6" s="345"/>
      <c r="BQ6" s="49" t="s">
        <v>17</v>
      </c>
      <c r="BR6" s="49" t="s">
        <v>18</v>
      </c>
      <c r="BS6" s="49" t="s">
        <v>19</v>
      </c>
      <c r="BT6" s="313"/>
      <c r="BU6" s="49" t="s">
        <v>17</v>
      </c>
      <c r="BV6" s="49" t="s">
        <v>18</v>
      </c>
      <c r="BW6" s="82" t="s">
        <v>19</v>
      </c>
      <c r="BX6" s="312"/>
      <c r="BY6" s="313"/>
      <c r="BZ6" s="49" t="s">
        <v>17</v>
      </c>
      <c r="CA6" s="49" t="s">
        <v>18</v>
      </c>
      <c r="CB6" s="49" t="s">
        <v>19</v>
      </c>
      <c r="CC6" s="313"/>
      <c r="CD6" s="49" t="s">
        <v>17</v>
      </c>
      <c r="CE6" s="49" t="s">
        <v>18</v>
      </c>
      <c r="CF6" s="50" t="s">
        <v>19</v>
      </c>
    </row>
    <row r="7" spans="1:84" ht="4.5" customHeight="1">
      <c r="A7" s="66"/>
      <c r="B7" s="114"/>
      <c r="C7" s="115"/>
      <c r="D7" s="115"/>
      <c r="E7" s="115"/>
      <c r="F7" s="115"/>
      <c r="G7" s="115"/>
      <c r="H7" s="115"/>
      <c r="I7" s="115"/>
      <c r="J7" s="116"/>
      <c r="K7" s="114"/>
      <c r="L7" s="119"/>
      <c r="M7" s="115"/>
      <c r="N7" s="115"/>
      <c r="O7" s="115"/>
      <c r="P7" s="115"/>
      <c r="Q7" s="115"/>
      <c r="R7" s="115"/>
      <c r="S7" s="116"/>
      <c r="T7" s="114"/>
      <c r="U7" s="115"/>
      <c r="V7" s="115"/>
      <c r="W7" s="115"/>
      <c r="X7" s="115"/>
      <c r="Y7" s="115"/>
      <c r="Z7" s="115"/>
      <c r="AA7" s="115"/>
      <c r="AB7" s="116"/>
      <c r="AC7" s="120"/>
      <c r="AD7" s="114"/>
      <c r="AE7" s="119"/>
      <c r="AF7" s="115"/>
      <c r="AG7" s="115"/>
      <c r="AH7" s="115"/>
      <c r="AI7" s="115"/>
      <c r="AJ7" s="115"/>
      <c r="AK7" s="115"/>
      <c r="AL7" s="116"/>
      <c r="AM7" s="114"/>
      <c r="AN7" s="115"/>
      <c r="AO7" s="115"/>
      <c r="AP7" s="115"/>
      <c r="AQ7" s="115"/>
      <c r="AR7" s="115"/>
      <c r="AS7" s="115"/>
      <c r="AT7" s="115"/>
      <c r="AU7" s="117"/>
      <c r="AV7" s="149"/>
      <c r="AW7" s="114"/>
      <c r="AX7" s="119"/>
      <c r="AY7" s="115"/>
      <c r="AZ7" s="115"/>
      <c r="BA7" s="115"/>
      <c r="BB7" s="115"/>
      <c r="BC7" s="115"/>
      <c r="BD7" s="115"/>
      <c r="BE7" s="116"/>
      <c r="BF7" s="114"/>
      <c r="BG7" s="115"/>
      <c r="BH7" s="115"/>
      <c r="BI7" s="115"/>
      <c r="BJ7" s="115"/>
      <c r="BK7" s="115"/>
      <c r="BL7" s="115"/>
      <c r="BM7" s="115"/>
      <c r="BN7" s="116"/>
      <c r="BO7" s="110"/>
      <c r="BP7" s="112"/>
      <c r="BQ7" s="111"/>
      <c r="BR7" s="111"/>
      <c r="BS7" s="111"/>
      <c r="BT7" s="111"/>
      <c r="BU7" s="111"/>
      <c r="BV7" s="111"/>
      <c r="BW7" s="236"/>
      <c r="BX7" s="234"/>
      <c r="BY7" s="235"/>
      <c r="BZ7" s="235"/>
      <c r="CA7" s="235"/>
      <c r="CB7" s="235"/>
      <c r="CC7" s="235"/>
      <c r="CD7" s="235"/>
      <c r="CE7" s="235"/>
      <c r="CF7" s="237"/>
    </row>
    <row r="8" spans="1:84" ht="19.5" customHeight="1">
      <c r="A8" s="298" t="s">
        <v>0</v>
      </c>
      <c r="B8" s="284">
        <f>C8+G8</f>
        <v>5405.612</v>
      </c>
      <c r="C8" s="285">
        <f>D8+E8+F8</f>
        <v>4116.63</v>
      </c>
      <c r="D8" s="285">
        <f>SUM(D9:D32)</f>
        <v>2225.082</v>
      </c>
      <c r="E8" s="285">
        <f>SUM(E9:E32)</f>
        <v>1821.5480000000002</v>
      </c>
      <c r="F8" s="286">
        <f>SUM(F9:F32)</f>
        <v>70</v>
      </c>
      <c r="G8" s="287">
        <f>191.027+1080.219+15.739+1.997</f>
        <v>1288.9820000000002</v>
      </c>
      <c r="H8" s="288" t="s">
        <v>20</v>
      </c>
      <c r="I8" s="288" t="s">
        <v>20</v>
      </c>
      <c r="J8" s="289" t="s">
        <v>20</v>
      </c>
      <c r="K8" s="284">
        <f>L8+P8</f>
        <v>5705.288</v>
      </c>
      <c r="L8" s="290">
        <f>SUM(L9:L32)</f>
        <v>4349.407999999999</v>
      </c>
      <c r="M8" s="290">
        <f>SUM(M9:M32)</f>
        <v>2880.1999999999994</v>
      </c>
      <c r="N8" s="290">
        <f>SUM(N9:N32)</f>
        <v>1449.208</v>
      </c>
      <c r="O8" s="291">
        <f>SUM(O9:O32)</f>
        <v>20</v>
      </c>
      <c r="P8" s="291">
        <f>188.38+1143.07+21.122+3.308</f>
        <v>1355.8799999999999</v>
      </c>
      <c r="Q8" s="288" t="s">
        <v>20</v>
      </c>
      <c r="R8" s="288" t="s">
        <v>20</v>
      </c>
      <c r="S8" s="289" t="s">
        <v>20</v>
      </c>
      <c r="T8" s="286">
        <f aca="true" t="shared" si="0" ref="T8:Y8">K8/B8*100</f>
        <v>105.54379411618886</v>
      </c>
      <c r="U8" s="286">
        <f t="shared" si="0"/>
        <v>105.65457668044004</v>
      </c>
      <c r="V8" s="286">
        <f t="shared" si="0"/>
        <v>129.44242054899547</v>
      </c>
      <c r="W8" s="286">
        <f t="shared" si="0"/>
        <v>79.55914420042733</v>
      </c>
      <c r="X8" s="286">
        <f t="shared" si="0"/>
        <v>28.57142857142857</v>
      </c>
      <c r="Y8" s="286">
        <f t="shared" si="0"/>
        <v>105.1899871371361</v>
      </c>
      <c r="Z8" s="288" t="s">
        <v>20</v>
      </c>
      <c r="AA8" s="288" t="s">
        <v>20</v>
      </c>
      <c r="AB8" s="289" t="s">
        <v>20</v>
      </c>
      <c r="AC8" s="292" t="s">
        <v>0</v>
      </c>
      <c r="AD8" s="284">
        <f>AE8+AI8</f>
        <v>6358.146000000001</v>
      </c>
      <c r="AE8" s="290">
        <f>SUM(AE9:AE32)</f>
        <v>4910.869000000001</v>
      </c>
      <c r="AF8" s="290">
        <f>SUM(AF9:AF32)</f>
        <v>2551.2590000000005</v>
      </c>
      <c r="AG8" s="290">
        <f>SUM(AG9:AG32)</f>
        <v>2147.61</v>
      </c>
      <c r="AH8" s="291">
        <f>SUM(AH9:AH32)</f>
        <v>212</v>
      </c>
      <c r="AI8" s="291">
        <f>173.47+1268.7+3.602+1.505</f>
        <v>1447.2770000000003</v>
      </c>
      <c r="AJ8" s="288" t="s">
        <v>20</v>
      </c>
      <c r="AK8" s="288" t="s">
        <v>20</v>
      </c>
      <c r="AL8" s="289" t="s">
        <v>20</v>
      </c>
      <c r="AM8" s="286">
        <f aca="true" t="shared" si="1" ref="AM8:AR8">AD8/K8*100</f>
        <v>111.44303320007687</v>
      </c>
      <c r="AN8" s="286">
        <f t="shared" si="1"/>
        <v>112.90890622355964</v>
      </c>
      <c r="AO8" s="286">
        <f t="shared" si="1"/>
        <v>88.57923060898553</v>
      </c>
      <c r="AP8" s="286">
        <f t="shared" si="1"/>
        <v>148.1919779631357</v>
      </c>
      <c r="AQ8" s="286">
        <f t="shared" si="1"/>
        <v>1060</v>
      </c>
      <c r="AR8" s="286">
        <f t="shared" si="1"/>
        <v>106.74078827034843</v>
      </c>
      <c r="AS8" s="286"/>
      <c r="AT8" s="286"/>
      <c r="AU8" s="293"/>
      <c r="AV8" s="294" t="s">
        <v>0</v>
      </c>
      <c r="AW8" s="284">
        <f>AX8+BB8</f>
        <v>7284.661000000002</v>
      </c>
      <c r="AX8" s="290">
        <f>SUM(AX9:AX32)</f>
        <v>5385.286000000002</v>
      </c>
      <c r="AY8" s="290">
        <f>SUM(AY9:AY32)</f>
        <v>2726.2619999999997</v>
      </c>
      <c r="AZ8" s="290">
        <f>SUM(AZ9:AZ32)</f>
        <v>2342.024</v>
      </c>
      <c r="BA8" s="291">
        <f>SUM(BA9:BA32)</f>
        <v>317</v>
      </c>
      <c r="BB8" s="291">
        <f>1721.2+172.41+5.765</f>
        <v>1899.3750000000002</v>
      </c>
      <c r="BC8" s="288" t="s">
        <v>20</v>
      </c>
      <c r="BD8" s="288" t="s">
        <v>20</v>
      </c>
      <c r="BE8" s="289" t="s">
        <v>20</v>
      </c>
      <c r="BF8" s="284">
        <f>AW8/AD8*100</f>
        <v>114.57209381476929</v>
      </c>
      <c r="BG8" s="286">
        <f>AX8/AE8*100</f>
        <v>109.66055091267964</v>
      </c>
      <c r="BH8" s="286">
        <f aca="true" t="shared" si="2" ref="BH8:BJ11">AY8/AF8*100</f>
        <v>106.85947604692426</v>
      </c>
      <c r="BI8" s="286">
        <f t="shared" si="2"/>
        <v>109.05257472259859</v>
      </c>
      <c r="BJ8" s="286">
        <f t="shared" si="2"/>
        <v>149.52830188679243</v>
      </c>
      <c r="BK8" s="286">
        <f>BB8/AI8*100</f>
        <v>131.23783491342706</v>
      </c>
      <c r="BL8" s="286" t="e">
        <f>BC8/AS8*100</f>
        <v>#VALUE!</v>
      </c>
      <c r="BM8" s="286" t="e">
        <f>BD8/AT8*100</f>
        <v>#VALUE!</v>
      </c>
      <c r="BN8" s="295" t="e">
        <f>BE8/AU8*100</f>
        <v>#VALUE!</v>
      </c>
      <c r="BO8" s="296">
        <f>BP8+BT8</f>
        <v>7466.977</v>
      </c>
      <c r="BP8" s="290">
        <f>SUM(BP9:BP32)</f>
        <v>5696.977</v>
      </c>
      <c r="BQ8" s="290">
        <f>SUM(BQ9:BQ32)</f>
        <v>2745.474</v>
      </c>
      <c r="BR8" s="290">
        <f>SUM(BR9:BR32)</f>
        <v>2655.5350000000003</v>
      </c>
      <c r="BS8" s="291">
        <f>SUM(BS9:BS32)</f>
        <v>295.968</v>
      </c>
      <c r="BT8" s="291">
        <v>1770</v>
      </c>
      <c r="BU8" s="288" t="s">
        <v>20</v>
      </c>
      <c r="BV8" s="288" t="s">
        <v>20</v>
      </c>
      <c r="BW8" s="297" t="s">
        <v>20</v>
      </c>
      <c r="BX8" s="284">
        <f aca="true" t="shared" si="3" ref="BX8:CC8">BO8/AW8*100</f>
        <v>102.50273828802739</v>
      </c>
      <c r="BY8" s="286">
        <f t="shared" si="3"/>
        <v>105.78782631043175</v>
      </c>
      <c r="BZ8" s="286">
        <f t="shared" si="3"/>
        <v>100.70470116225074</v>
      </c>
      <c r="CA8" s="286">
        <f t="shared" si="3"/>
        <v>113.38632738178602</v>
      </c>
      <c r="CB8" s="286">
        <f t="shared" si="3"/>
        <v>93.36529968454259</v>
      </c>
      <c r="CC8" s="286">
        <f t="shared" si="3"/>
        <v>93.18854886475813</v>
      </c>
      <c r="CD8" s="12" t="e">
        <f>BU8/BB8*100</f>
        <v>#VALUE!</v>
      </c>
      <c r="CE8" s="12" t="e">
        <f aca="true" t="shared" si="4" ref="CE8:CE32">BV8/BL8*100</f>
        <v>#VALUE!</v>
      </c>
      <c r="CF8" s="159" t="e">
        <f aca="true" t="shared" si="5" ref="CF8:CF32">BW8/BM8*100</f>
        <v>#VALUE!</v>
      </c>
    </row>
    <row r="9" spans="1:84" ht="21.75" customHeight="1">
      <c r="A9" s="56" t="s">
        <v>1</v>
      </c>
      <c r="B9" s="23" t="s">
        <v>20</v>
      </c>
      <c r="C9" s="71">
        <f aca="true" t="shared" si="6" ref="C9:C32">D9+E9+F9</f>
        <v>47.448</v>
      </c>
      <c r="D9" s="25">
        <v>47.448</v>
      </c>
      <c r="E9" s="16">
        <v>0</v>
      </c>
      <c r="F9" s="16">
        <v>0</v>
      </c>
      <c r="G9" s="21" t="s">
        <v>20</v>
      </c>
      <c r="H9" s="21" t="s">
        <v>20</v>
      </c>
      <c r="I9" s="21" t="s">
        <v>20</v>
      </c>
      <c r="J9" s="22" t="s">
        <v>20</v>
      </c>
      <c r="K9" s="23" t="s">
        <v>20</v>
      </c>
      <c r="L9" s="14">
        <f aca="true" t="shared" si="7" ref="L9:L32">M9+N9+O9</f>
        <v>52.574</v>
      </c>
      <c r="M9" s="25">
        <v>52.574</v>
      </c>
      <c r="N9" s="6">
        <v>0</v>
      </c>
      <c r="O9" s="6">
        <v>0</v>
      </c>
      <c r="P9" s="21" t="s">
        <v>20</v>
      </c>
      <c r="Q9" s="21" t="s">
        <v>20</v>
      </c>
      <c r="R9" s="21" t="s">
        <v>20</v>
      </c>
      <c r="S9" s="22" t="s">
        <v>20</v>
      </c>
      <c r="T9" s="23" t="s">
        <v>20</v>
      </c>
      <c r="U9" s="6">
        <f>L9/C9*100</f>
        <v>110.80340583375485</v>
      </c>
      <c r="V9" s="6">
        <f>M9/D9*100</f>
        <v>110.80340583375485</v>
      </c>
      <c r="W9" s="6">
        <v>0</v>
      </c>
      <c r="X9" s="6">
        <v>0</v>
      </c>
      <c r="Y9" s="21" t="s">
        <v>20</v>
      </c>
      <c r="Z9" s="21" t="s">
        <v>20</v>
      </c>
      <c r="AA9" s="21" t="s">
        <v>20</v>
      </c>
      <c r="AB9" s="22" t="s">
        <v>20</v>
      </c>
      <c r="AC9" s="150" t="s">
        <v>1</v>
      </c>
      <c r="AD9" s="23" t="s">
        <v>20</v>
      </c>
      <c r="AE9" s="11">
        <f aca="true" t="shared" si="8" ref="AE9:AE32">AF9+AG9+AH9</f>
        <v>0.355</v>
      </c>
      <c r="AF9" s="25">
        <v>0.355</v>
      </c>
      <c r="AG9" s="6">
        <v>0</v>
      </c>
      <c r="AH9" s="6">
        <v>0</v>
      </c>
      <c r="AI9" s="21" t="s">
        <v>20</v>
      </c>
      <c r="AJ9" s="21" t="s">
        <v>20</v>
      </c>
      <c r="AK9" s="21" t="s">
        <v>20</v>
      </c>
      <c r="AL9" s="22" t="s">
        <v>20</v>
      </c>
      <c r="AM9" s="23" t="s">
        <v>20</v>
      </c>
      <c r="AN9" s="62">
        <f>AE9/L9*100</f>
        <v>0.675238711149998</v>
      </c>
      <c r="AO9" s="62">
        <f>AF9/M9*100</f>
        <v>0.675238711149998</v>
      </c>
      <c r="AP9" s="62"/>
      <c r="AQ9" s="62"/>
      <c r="AR9" s="21" t="s">
        <v>20</v>
      </c>
      <c r="AS9" s="21" t="s">
        <v>20</v>
      </c>
      <c r="AT9" s="21" t="s">
        <v>20</v>
      </c>
      <c r="AU9" s="146" t="s">
        <v>20</v>
      </c>
      <c r="AV9" s="151" t="s">
        <v>1</v>
      </c>
      <c r="AW9" s="23" t="s">
        <v>20</v>
      </c>
      <c r="AX9" s="11">
        <f aca="true" t="shared" si="9" ref="AX9:AX32">AY9+AZ9+BA9</f>
        <v>0</v>
      </c>
      <c r="AY9" s="25">
        <v>0</v>
      </c>
      <c r="AZ9" s="6">
        <v>0</v>
      </c>
      <c r="BA9" s="6">
        <v>0</v>
      </c>
      <c r="BB9" s="21" t="s">
        <v>20</v>
      </c>
      <c r="BC9" s="21" t="s">
        <v>20</v>
      </c>
      <c r="BD9" s="21" t="s">
        <v>20</v>
      </c>
      <c r="BE9" s="22" t="s">
        <v>20</v>
      </c>
      <c r="BF9" s="160"/>
      <c r="BG9" s="12">
        <f aca="true" t="shared" si="10" ref="BG9:BG32">AX9/AE9*100</f>
        <v>0</v>
      </c>
      <c r="BH9" s="62">
        <f t="shared" si="2"/>
        <v>0</v>
      </c>
      <c r="BI9" s="62"/>
      <c r="BJ9" s="62"/>
      <c r="BK9" s="21" t="s">
        <v>20</v>
      </c>
      <c r="BL9" s="62" t="e">
        <f aca="true" t="shared" si="11" ref="BL9:BL32">BC9/AS9*100</f>
        <v>#VALUE!</v>
      </c>
      <c r="BM9" s="62" t="e">
        <f aca="true" t="shared" si="12" ref="BM9:BM32">BD9/AT9*100</f>
        <v>#VALUE!</v>
      </c>
      <c r="BN9" s="161" t="e">
        <f aca="true" t="shared" si="13" ref="BN9:BN32">BE9/AU9*100</f>
        <v>#VALUE!</v>
      </c>
      <c r="BO9" s="23" t="s">
        <v>20</v>
      </c>
      <c r="BP9" s="11">
        <f aca="true" t="shared" si="14" ref="BP9:BP32">BQ9+BR9+BS9</f>
        <v>0</v>
      </c>
      <c r="BQ9" s="25">
        <v>0</v>
      </c>
      <c r="BR9" s="5">
        <v>0</v>
      </c>
      <c r="BS9" s="26">
        <v>0</v>
      </c>
      <c r="BT9" s="21" t="s">
        <v>20</v>
      </c>
      <c r="BU9" s="21" t="s">
        <v>20</v>
      </c>
      <c r="BV9" s="21" t="s">
        <v>20</v>
      </c>
      <c r="BW9" s="146" t="s">
        <v>20</v>
      </c>
      <c r="BX9" s="69"/>
      <c r="BY9" s="11">
        <v>0</v>
      </c>
      <c r="BZ9" s="11">
        <v>0</v>
      </c>
      <c r="CA9" s="11">
        <v>0</v>
      </c>
      <c r="CB9" s="11">
        <v>0</v>
      </c>
      <c r="CC9" s="11"/>
      <c r="CD9" s="21" t="s">
        <v>20</v>
      </c>
      <c r="CE9" s="62" t="e">
        <f t="shared" si="4"/>
        <v>#VALUE!</v>
      </c>
      <c r="CF9" s="161" t="e">
        <f t="shared" si="5"/>
        <v>#VALUE!</v>
      </c>
    </row>
    <row r="10" spans="1:84" ht="21" customHeight="1">
      <c r="A10" s="56" t="s">
        <v>2</v>
      </c>
      <c r="B10" s="23" t="s">
        <v>20</v>
      </c>
      <c r="C10" s="71">
        <f t="shared" si="6"/>
        <v>5.09</v>
      </c>
      <c r="D10" s="25">
        <v>1.29</v>
      </c>
      <c r="E10" s="16">
        <v>3.8</v>
      </c>
      <c r="F10" s="16">
        <v>0</v>
      </c>
      <c r="G10" s="21" t="s">
        <v>20</v>
      </c>
      <c r="H10" s="21" t="s">
        <v>20</v>
      </c>
      <c r="I10" s="21" t="s">
        <v>20</v>
      </c>
      <c r="J10" s="22" t="s">
        <v>20</v>
      </c>
      <c r="K10" s="23" t="s">
        <v>20</v>
      </c>
      <c r="L10" s="14">
        <f t="shared" si="7"/>
        <v>3.13</v>
      </c>
      <c r="M10" s="25">
        <v>3.13</v>
      </c>
      <c r="N10" s="6">
        <v>0</v>
      </c>
      <c r="O10" s="6">
        <v>0</v>
      </c>
      <c r="P10" s="21" t="s">
        <v>20</v>
      </c>
      <c r="Q10" s="21" t="s">
        <v>20</v>
      </c>
      <c r="R10" s="21" t="s">
        <v>20</v>
      </c>
      <c r="S10" s="22" t="s">
        <v>20</v>
      </c>
      <c r="T10" s="23" t="s">
        <v>20</v>
      </c>
      <c r="U10" s="6">
        <f>L10/C10*100</f>
        <v>61.493123772102166</v>
      </c>
      <c r="V10" s="6">
        <f>M10/D10*100</f>
        <v>242.63565891472868</v>
      </c>
      <c r="W10" s="6">
        <v>0</v>
      </c>
      <c r="X10" s="6">
        <v>0</v>
      </c>
      <c r="Y10" s="21" t="s">
        <v>20</v>
      </c>
      <c r="Z10" s="21" t="s">
        <v>20</v>
      </c>
      <c r="AA10" s="21" t="s">
        <v>20</v>
      </c>
      <c r="AB10" s="22" t="s">
        <v>20</v>
      </c>
      <c r="AC10" s="150" t="s">
        <v>2</v>
      </c>
      <c r="AD10" s="23" t="s">
        <v>20</v>
      </c>
      <c r="AE10" s="11">
        <f t="shared" si="8"/>
        <v>2.165</v>
      </c>
      <c r="AF10" s="25">
        <v>2.165</v>
      </c>
      <c r="AG10" s="6">
        <v>0</v>
      </c>
      <c r="AH10" s="6">
        <v>0</v>
      </c>
      <c r="AI10" s="21" t="s">
        <v>20</v>
      </c>
      <c r="AJ10" s="21" t="s">
        <v>20</v>
      </c>
      <c r="AK10" s="21" t="s">
        <v>20</v>
      </c>
      <c r="AL10" s="22" t="s">
        <v>20</v>
      </c>
      <c r="AM10" s="23" t="s">
        <v>20</v>
      </c>
      <c r="AN10" s="62">
        <f>AE10/L10*100</f>
        <v>69.16932907348243</v>
      </c>
      <c r="AO10" s="62">
        <f>AF10/M10*100</f>
        <v>69.16932907348243</v>
      </c>
      <c r="AP10" s="62"/>
      <c r="AQ10" s="62"/>
      <c r="AR10" s="21" t="s">
        <v>20</v>
      </c>
      <c r="AS10" s="21" t="s">
        <v>20</v>
      </c>
      <c r="AT10" s="21" t="s">
        <v>20</v>
      </c>
      <c r="AU10" s="146" t="s">
        <v>20</v>
      </c>
      <c r="AV10" s="151" t="s">
        <v>2</v>
      </c>
      <c r="AW10" s="23" t="s">
        <v>20</v>
      </c>
      <c r="AX10" s="11">
        <f t="shared" si="9"/>
        <v>0.785</v>
      </c>
      <c r="AY10" s="25">
        <v>0.785</v>
      </c>
      <c r="AZ10" s="6">
        <v>0</v>
      </c>
      <c r="BA10" s="6">
        <v>0</v>
      </c>
      <c r="BB10" s="21" t="s">
        <v>20</v>
      </c>
      <c r="BC10" s="21" t="s">
        <v>20</v>
      </c>
      <c r="BD10" s="21" t="s">
        <v>20</v>
      </c>
      <c r="BE10" s="22" t="s">
        <v>20</v>
      </c>
      <c r="BF10" s="160"/>
      <c r="BG10" s="12">
        <f t="shared" si="10"/>
        <v>36.25866050808314</v>
      </c>
      <c r="BH10" s="62">
        <f t="shared" si="2"/>
        <v>36.25866050808314</v>
      </c>
      <c r="BI10" s="62"/>
      <c r="BJ10" s="62"/>
      <c r="BK10" s="21" t="s">
        <v>20</v>
      </c>
      <c r="BL10" s="62" t="e">
        <f t="shared" si="11"/>
        <v>#VALUE!</v>
      </c>
      <c r="BM10" s="62" t="e">
        <f t="shared" si="12"/>
        <v>#VALUE!</v>
      </c>
      <c r="BN10" s="161" t="e">
        <f t="shared" si="13"/>
        <v>#VALUE!</v>
      </c>
      <c r="BO10" s="23" t="s">
        <v>20</v>
      </c>
      <c r="BP10" s="11">
        <f t="shared" si="14"/>
        <v>0.725</v>
      </c>
      <c r="BQ10" s="25">
        <v>0.725</v>
      </c>
      <c r="BR10" s="5">
        <v>0</v>
      </c>
      <c r="BS10" s="26">
        <v>0</v>
      </c>
      <c r="BT10" s="21" t="s">
        <v>20</v>
      </c>
      <c r="BU10" s="21" t="s">
        <v>20</v>
      </c>
      <c r="BV10" s="21" t="s">
        <v>20</v>
      </c>
      <c r="BW10" s="146" t="s">
        <v>20</v>
      </c>
      <c r="BX10" s="69"/>
      <c r="BY10" s="11">
        <f aca="true" t="shared" si="15" ref="BY10:BY32">BP10/AX10*100</f>
        <v>92.35668789808916</v>
      </c>
      <c r="BZ10" s="11">
        <f aca="true" t="shared" si="16" ref="BZ10:BZ32">BQ10/AY10*100</f>
        <v>92.35668789808916</v>
      </c>
      <c r="CA10" s="11">
        <v>0</v>
      </c>
      <c r="CB10" s="11">
        <v>0</v>
      </c>
      <c r="CC10" s="11"/>
      <c r="CD10" s="21" t="s">
        <v>20</v>
      </c>
      <c r="CE10" s="62" t="e">
        <f t="shared" si="4"/>
        <v>#VALUE!</v>
      </c>
      <c r="CF10" s="161" t="e">
        <f t="shared" si="5"/>
        <v>#VALUE!</v>
      </c>
    </row>
    <row r="11" spans="1:84" ht="19.5" customHeight="1">
      <c r="A11" s="56" t="s">
        <v>3</v>
      </c>
      <c r="B11" s="23" t="s">
        <v>20</v>
      </c>
      <c r="C11" s="71">
        <f t="shared" si="6"/>
        <v>42</v>
      </c>
      <c r="D11" s="25">
        <v>0</v>
      </c>
      <c r="E11" s="16">
        <v>42</v>
      </c>
      <c r="F11" s="16">
        <v>0</v>
      </c>
      <c r="G11" s="21" t="s">
        <v>20</v>
      </c>
      <c r="H11" s="21" t="s">
        <v>20</v>
      </c>
      <c r="I11" s="21" t="s">
        <v>20</v>
      </c>
      <c r="J11" s="22" t="s">
        <v>20</v>
      </c>
      <c r="K11" s="23" t="s">
        <v>20</v>
      </c>
      <c r="L11" s="14">
        <f t="shared" si="7"/>
        <v>41</v>
      </c>
      <c r="M11" s="25">
        <v>0</v>
      </c>
      <c r="N11" s="6">
        <v>41</v>
      </c>
      <c r="O11" s="6">
        <v>0</v>
      </c>
      <c r="P11" s="21" t="s">
        <v>20</v>
      </c>
      <c r="Q11" s="21" t="s">
        <v>20</v>
      </c>
      <c r="R11" s="21" t="s">
        <v>20</v>
      </c>
      <c r="S11" s="22" t="s">
        <v>20</v>
      </c>
      <c r="T11" s="23" t="s">
        <v>20</v>
      </c>
      <c r="U11" s="6">
        <f aca="true" t="shared" si="17" ref="U11:U25">L11/C11*100</f>
        <v>97.61904761904762</v>
      </c>
      <c r="V11" s="6">
        <v>0</v>
      </c>
      <c r="W11" s="6">
        <f>N11/E11*100</f>
        <v>97.61904761904762</v>
      </c>
      <c r="X11" s="6">
        <v>0</v>
      </c>
      <c r="Y11" s="21" t="s">
        <v>20</v>
      </c>
      <c r="Z11" s="21" t="s">
        <v>20</v>
      </c>
      <c r="AA11" s="21" t="s">
        <v>20</v>
      </c>
      <c r="AB11" s="22" t="s">
        <v>20</v>
      </c>
      <c r="AC11" s="150" t="s">
        <v>3</v>
      </c>
      <c r="AD11" s="23" t="s">
        <v>20</v>
      </c>
      <c r="AE11" s="11">
        <f t="shared" si="8"/>
        <v>61</v>
      </c>
      <c r="AF11" s="25">
        <v>0</v>
      </c>
      <c r="AG11" s="6">
        <v>61</v>
      </c>
      <c r="AH11" s="6">
        <v>0</v>
      </c>
      <c r="AI11" s="21" t="s">
        <v>20</v>
      </c>
      <c r="AJ11" s="21" t="s">
        <v>20</v>
      </c>
      <c r="AK11" s="21" t="s">
        <v>20</v>
      </c>
      <c r="AL11" s="22" t="s">
        <v>20</v>
      </c>
      <c r="AM11" s="23" t="s">
        <v>20</v>
      </c>
      <c r="AN11" s="62">
        <f>AE11/L11*100</f>
        <v>148.78048780487805</v>
      </c>
      <c r="AO11" s="62"/>
      <c r="AP11" s="62">
        <f>AG11/N11*100</f>
        <v>148.78048780487805</v>
      </c>
      <c r="AQ11" s="62"/>
      <c r="AR11" s="21" t="s">
        <v>20</v>
      </c>
      <c r="AS11" s="21" t="s">
        <v>20</v>
      </c>
      <c r="AT11" s="21" t="s">
        <v>20</v>
      </c>
      <c r="AU11" s="146" t="s">
        <v>20</v>
      </c>
      <c r="AV11" s="151" t="s">
        <v>3</v>
      </c>
      <c r="AW11" s="23" t="s">
        <v>20</v>
      </c>
      <c r="AX11" s="11">
        <f t="shared" si="9"/>
        <v>102.3</v>
      </c>
      <c r="AY11" s="25">
        <v>0</v>
      </c>
      <c r="AZ11" s="5">
        <v>102.3</v>
      </c>
      <c r="BA11" s="6">
        <v>0</v>
      </c>
      <c r="BB11" s="21" t="s">
        <v>20</v>
      </c>
      <c r="BC11" s="21" t="s">
        <v>20</v>
      </c>
      <c r="BD11" s="21" t="s">
        <v>20</v>
      </c>
      <c r="BE11" s="22" t="s">
        <v>20</v>
      </c>
      <c r="BF11" s="160"/>
      <c r="BG11" s="12">
        <f t="shared" si="10"/>
        <v>167.70491803278688</v>
      </c>
      <c r="BH11" s="62"/>
      <c r="BI11" s="62">
        <f t="shared" si="2"/>
        <v>167.70491803278688</v>
      </c>
      <c r="BJ11" s="62"/>
      <c r="BK11" s="21" t="s">
        <v>20</v>
      </c>
      <c r="BL11" s="62" t="e">
        <f t="shared" si="11"/>
        <v>#VALUE!</v>
      </c>
      <c r="BM11" s="62" t="e">
        <f t="shared" si="12"/>
        <v>#VALUE!</v>
      </c>
      <c r="BN11" s="161" t="e">
        <f t="shared" si="13"/>
        <v>#VALUE!</v>
      </c>
      <c r="BO11" s="23" t="s">
        <v>20</v>
      </c>
      <c r="BP11" s="11">
        <f t="shared" si="14"/>
        <v>38.02</v>
      </c>
      <c r="BQ11" s="25">
        <v>0</v>
      </c>
      <c r="BR11" s="25">
        <v>38.02</v>
      </c>
      <c r="BS11" s="26">
        <v>0</v>
      </c>
      <c r="BT11" s="21" t="s">
        <v>20</v>
      </c>
      <c r="BU11" s="21" t="s">
        <v>20</v>
      </c>
      <c r="BV11" s="21" t="s">
        <v>20</v>
      </c>
      <c r="BW11" s="146" t="s">
        <v>20</v>
      </c>
      <c r="BX11" s="69"/>
      <c r="BY11" s="11">
        <f t="shared" si="15"/>
        <v>37.16520039100685</v>
      </c>
      <c r="BZ11" s="11">
        <v>0</v>
      </c>
      <c r="CA11" s="11">
        <f aca="true" t="shared" si="18" ref="CA11:CA28">BR11/AZ11*100</f>
        <v>37.16520039100685</v>
      </c>
      <c r="CB11" s="11">
        <v>0</v>
      </c>
      <c r="CC11" s="11"/>
      <c r="CD11" s="21" t="s">
        <v>20</v>
      </c>
      <c r="CE11" s="62" t="e">
        <f t="shared" si="4"/>
        <v>#VALUE!</v>
      </c>
      <c r="CF11" s="161" t="e">
        <f t="shared" si="5"/>
        <v>#VALUE!</v>
      </c>
    </row>
    <row r="12" spans="1:84" ht="18.75" customHeight="1">
      <c r="A12" s="56" t="s">
        <v>36</v>
      </c>
      <c r="B12" s="23" t="s">
        <v>20</v>
      </c>
      <c r="C12" s="71">
        <f t="shared" si="6"/>
        <v>4.3</v>
      </c>
      <c r="D12" s="25">
        <v>4.3</v>
      </c>
      <c r="E12" s="16">
        <v>0</v>
      </c>
      <c r="F12" s="16">
        <v>0</v>
      </c>
      <c r="G12" s="21" t="s">
        <v>20</v>
      </c>
      <c r="H12" s="21" t="s">
        <v>20</v>
      </c>
      <c r="I12" s="21" t="s">
        <v>20</v>
      </c>
      <c r="J12" s="22" t="s">
        <v>20</v>
      </c>
      <c r="K12" s="23" t="s">
        <v>20</v>
      </c>
      <c r="L12" s="14">
        <f t="shared" si="7"/>
        <v>0</v>
      </c>
      <c r="M12" s="25">
        <v>0</v>
      </c>
      <c r="N12" s="6">
        <v>0</v>
      </c>
      <c r="O12" s="6">
        <v>0</v>
      </c>
      <c r="P12" s="21" t="s">
        <v>20</v>
      </c>
      <c r="Q12" s="21" t="s">
        <v>20</v>
      </c>
      <c r="R12" s="21" t="s">
        <v>20</v>
      </c>
      <c r="S12" s="22" t="s">
        <v>20</v>
      </c>
      <c r="T12" s="23" t="s">
        <v>20</v>
      </c>
      <c r="U12" s="6">
        <f t="shared" si="17"/>
        <v>0</v>
      </c>
      <c r="V12" s="6">
        <v>0</v>
      </c>
      <c r="W12" s="6">
        <v>0</v>
      </c>
      <c r="X12" s="6">
        <v>0</v>
      </c>
      <c r="Y12" s="21" t="s">
        <v>20</v>
      </c>
      <c r="Z12" s="21" t="s">
        <v>20</v>
      </c>
      <c r="AA12" s="21" t="s">
        <v>20</v>
      </c>
      <c r="AB12" s="22" t="s">
        <v>20</v>
      </c>
      <c r="AC12" s="150" t="s">
        <v>36</v>
      </c>
      <c r="AD12" s="23" t="s">
        <v>20</v>
      </c>
      <c r="AE12" s="11">
        <f t="shared" si="8"/>
        <v>0</v>
      </c>
      <c r="AF12" s="25">
        <v>0</v>
      </c>
      <c r="AG12" s="6">
        <v>0</v>
      </c>
      <c r="AH12" s="6">
        <v>0</v>
      </c>
      <c r="AI12" s="21" t="s">
        <v>20</v>
      </c>
      <c r="AJ12" s="21" t="s">
        <v>20</v>
      </c>
      <c r="AK12" s="21" t="s">
        <v>20</v>
      </c>
      <c r="AL12" s="22" t="s">
        <v>20</v>
      </c>
      <c r="AM12" s="23" t="s">
        <v>20</v>
      </c>
      <c r="AN12" s="62"/>
      <c r="AO12" s="62"/>
      <c r="AP12" s="62"/>
      <c r="AQ12" s="62"/>
      <c r="AR12" s="21" t="s">
        <v>20</v>
      </c>
      <c r="AS12" s="21" t="s">
        <v>20</v>
      </c>
      <c r="AT12" s="21" t="s">
        <v>20</v>
      </c>
      <c r="AU12" s="146" t="s">
        <v>20</v>
      </c>
      <c r="AV12" s="151" t="s">
        <v>36</v>
      </c>
      <c r="AW12" s="23" t="s">
        <v>20</v>
      </c>
      <c r="AX12" s="11">
        <f t="shared" si="9"/>
        <v>0</v>
      </c>
      <c r="AY12" s="25">
        <v>0</v>
      </c>
      <c r="AZ12" s="6">
        <v>0</v>
      </c>
      <c r="BA12" s="6">
        <v>0</v>
      </c>
      <c r="BB12" s="21" t="s">
        <v>20</v>
      </c>
      <c r="BC12" s="21" t="s">
        <v>20</v>
      </c>
      <c r="BD12" s="21" t="s">
        <v>20</v>
      </c>
      <c r="BE12" s="22" t="s">
        <v>20</v>
      </c>
      <c r="BF12" s="160"/>
      <c r="BG12" s="12"/>
      <c r="BH12" s="62"/>
      <c r="BI12" s="62"/>
      <c r="BJ12" s="62"/>
      <c r="BK12" s="21" t="s">
        <v>20</v>
      </c>
      <c r="BL12" s="62" t="e">
        <f t="shared" si="11"/>
        <v>#VALUE!</v>
      </c>
      <c r="BM12" s="62" t="e">
        <f t="shared" si="12"/>
        <v>#VALUE!</v>
      </c>
      <c r="BN12" s="161" t="e">
        <f t="shared" si="13"/>
        <v>#VALUE!</v>
      </c>
      <c r="BO12" s="23" t="s">
        <v>20</v>
      </c>
      <c r="BP12" s="11">
        <f t="shared" si="14"/>
        <v>0</v>
      </c>
      <c r="BQ12" s="25">
        <v>0</v>
      </c>
      <c r="BR12" s="25">
        <v>0</v>
      </c>
      <c r="BS12" s="26">
        <v>0</v>
      </c>
      <c r="BT12" s="21" t="s">
        <v>20</v>
      </c>
      <c r="BU12" s="21" t="s">
        <v>20</v>
      </c>
      <c r="BV12" s="21" t="s">
        <v>20</v>
      </c>
      <c r="BW12" s="146" t="s">
        <v>20</v>
      </c>
      <c r="BX12" s="69"/>
      <c r="BY12" s="11">
        <v>0</v>
      </c>
      <c r="BZ12" s="11">
        <v>0</v>
      </c>
      <c r="CA12" s="11">
        <v>0</v>
      </c>
      <c r="CB12" s="11">
        <v>0</v>
      </c>
      <c r="CC12" s="11"/>
      <c r="CD12" s="21" t="s">
        <v>20</v>
      </c>
      <c r="CE12" s="62" t="e">
        <f t="shared" si="4"/>
        <v>#VALUE!</v>
      </c>
      <c r="CF12" s="161" t="e">
        <f t="shared" si="5"/>
        <v>#VALUE!</v>
      </c>
    </row>
    <row r="13" spans="1:84" ht="20.25" customHeight="1">
      <c r="A13" s="56" t="s">
        <v>4</v>
      </c>
      <c r="B13" s="23" t="s">
        <v>20</v>
      </c>
      <c r="C13" s="71">
        <f t="shared" si="6"/>
        <v>630.524</v>
      </c>
      <c r="D13" s="25">
        <v>257.024</v>
      </c>
      <c r="E13" s="16">
        <v>373.5</v>
      </c>
      <c r="F13" s="16">
        <v>0</v>
      </c>
      <c r="G13" s="21" t="s">
        <v>20</v>
      </c>
      <c r="H13" s="21" t="s">
        <v>20</v>
      </c>
      <c r="I13" s="21" t="s">
        <v>20</v>
      </c>
      <c r="J13" s="22" t="s">
        <v>20</v>
      </c>
      <c r="K13" s="23" t="s">
        <v>20</v>
      </c>
      <c r="L13" s="14">
        <f t="shared" si="7"/>
        <v>1408.737</v>
      </c>
      <c r="M13" s="25">
        <v>1021.037</v>
      </c>
      <c r="N13" s="5">
        <v>387.7</v>
      </c>
      <c r="O13" s="6">
        <v>0</v>
      </c>
      <c r="P13" s="21" t="s">
        <v>20</v>
      </c>
      <c r="Q13" s="21" t="s">
        <v>20</v>
      </c>
      <c r="R13" s="21" t="s">
        <v>20</v>
      </c>
      <c r="S13" s="22" t="s">
        <v>20</v>
      </c>
      <c r="T13" s="23" t="s">
        <v>20</v>
      </c>
      <c r="U13" s="6">
        <f t="shared" si="17"/>
        <v>223.42321624553546</v>
      </c>
      <c r="V13" s="6">
        <f>M13/D13*100</f>
        <v>397.2535638695219</v>
      </c>
      <c r="W13" s="6">
        <f>N13/E13*100</f>
        <v>103.80187416331994</v>
      </c>
      <c r="X13" s="6">
        <v>0</v>
      </c>
      <c r="Y13" s="21" t="s">
        <v>20</v>
      </c>
      <c r="Z13" s="21" t="s">
        <v>20</v>
      </c>
      <c r="AA13" s="21" t="s">
        <v>20</v>
      </c>
      <c r="AB13" s="22" t="s">
        <v>20</v>
      </c>
      <c r="AC13" s="150" t="s">
        <v>4</v>
      </c>
      <c r="AD13" s="23" t="s">
        <v>20</v>
      </c>
      <c r="AE13" s="11">
        <f t="shared" si="8"/>
        <v>1316.4180000000001</v>
      </c>
      <c r="AF13" s="25">
        <v>607.996</v>
      </c>
      <c r="AG13" s="5">
        <v>496.422</v>
      </c>
      <c r="AH13" s="6">
        <v>212</v>
      </c>
      <c r="AI13" s="21" t="s">
        <v>20</v>
      </c>
      <c r="AJ13" s="21" t="s">
        <v>20</v>
      </c>
      <c r="AK13" s="21" t="s">
        <v>20</v>
      </c>
      <c r="AL13" s="22" t="s">
        <v>20</v>
      </c>
      <c r="AM13" s="23" t="s">
        <v>20</v>
      </c>
      <c r="AN13" s="62">
        <f aca="true" t="shared" si="19" ref="AN13:AN23">AE13/L13*100</f>
        <v>93.44668309272774</v>
      </c>
      <c r="AO13" s="62">
        <f aca="true" t="shared" si="20" ref="AO13:AO25">AF13/M13*100</f>
        <v>59.5469116202449</v>
      </c>
      <c r="AP13" s="62">
        <f aca="true" t="shared" si="21" ref="AP13:AP25">AG13/N13*100</f>
        <v>128.04281661078153</v>
      </c>
      <c r="AQ13" s="62"/>
      <c r="AR13" s="21" t="s">
        <v>20</v>
      </c>
      <c r="AS13" s="21" t="s">
        <v>20</v>
      </c>
      <c r="AT13" s="21" t="s">
        <v>20</v>
      </c>
      <c r="AU13" s="146" t="s">
        <v>20</v>
      </c>
      <c r="AV13" s="151" t="s">
        <v>4</v>
      </c>
      <c r="AW13" s="23" t="s">
        <v>20</v>
      </c>
      <c r="AX13" s="11">
        <f t="shared" si="9"/>
        <v>1416.035</v>
      </c>
      <c r="AY13" s="25">
        <v>339.189</v>
      </c>
      <c r="AZ13" s="5">
        <v>759.846</v>
      </c>
      <c r="BA13" s="6">
        <v>317</v>
      </c>
      <c r="BB13" s="21" t="s">
        <v>20</v>
      </c>
      <c r="BC13" s="21" t="s">
        <v>20</v>
      </c>
      <c r="BD13" s="21" t="s">
        <v>20</v>
      </c>
      <c r="BE13" s="22" t="s">
        <v>20</v>
      </c>
      <c r="BF13" s="160"/>
      <c r="BG13" s="12">
        <f t="shared" si="10"/>
        <v>107.56727726299702</v>
      </c>
      <c r="BH13" s="62">
        <f aca="true" t="shared" si="22" ref="BH13:BH26">AY13/AF13*100</f>
        <v>55.788031500207246</v>
      </c>
      <c r="BI13" s="62">
        <f aca="true" t="shared" si="23" ref="BI13:BI25">AZ13/AG13*100</f>
        <v>153.06452977507038</v>
      </c>
      <c r="BJ13" s="62">
        <f>BA13/AH13*100</f>
        <v>149.52830188679243</v>
      </c>
      <c r="BK13" s="21" t="s">
        <v>20</v>
      </c>
      <c r="BL13" s="62" t="e">
        <f t="shared" si="11"/>
        <v>#VALUE!</v>
      </c>
      <c r="BM13" s="62" t="e">
        <f t="shared" si="12"/>
        <v>#VALUE!</v>
      </c>
      <c r="BN13" s="161" t="e">
        <f t="shared" si="13"/>
        <v>#VALUE!</v>
      </c>
      <c r="BO13" s="23" t="s">
        <v>20</v>
      </c>
      <c r="BP13" s="11">
        <f t="shared" si="14"/>
        <v>1969.3500000000001</v>
      </c>
      <c r="BQ13" s="25">
        <v>606.986</v>
      </c>
      <c r="BR13" s="25">
        <v>1066.396</v>
      </c>
      <c r="BS13" s="6">
        <v>295.968</v>
      </c>
      <c r="BT13" s="21" t="s">
        <v>20</v>
      </c>
      <c r="BU13" s="21" t="s">
        <v>20</v>
      </c>
      <c r="BV13" s="21" t="s">
        <v>20</v>
      </c>
      <c r="BW13" s="146" t="s">
        <v>20</v>
      </c>
      <c r="BX13" s="69"/>
      <c r="BY13" s="11">
        <f t="shared" si="15"/>
        <v>139.07495224341207</v>
      </c>
      <c r="BZ13" s="11">
        <f t="shared" si="16"/>
        <v>178.9521476227118</v>
      </c>
      <c r="CA13" s="11">
        <f t="shared" si="18"/>
        <v>140.343701223669</v>
      </c>
      <c r="CB13" s="11">
        <f>BS13/BA13*100</f>
        <v>93.36529968454259</v>
      </c>
      <c r="CC13" s="11"/>
      <c r="CD13" s="21" t="s">
        <v>20</v>
      </c>
      <c r="CE13" s="62" t="e">
        <f t="shared" si="4"/>
        <v>#VALUE!</v>
      </c>
      <c r="CF13" s="161" t="e">
        <f t="shared" si="5"/>
        <v>#VALUE!</v>
      </c>
    </row>
    <row r="14" spans="1:84" ht="19.5" customHeight="1">
      <c r="A14" s="56" t="s">
        <v>13</v>
      </c>
      <c r="B14" s="23" t="s">
        <v>20</v>
      </c>
      <c r="C14" s="71">
        <f t="shared" si="6"/>
        <v>17.9</v>
      </c>
      <c r="D14" s="25">
        <v>17.9</v>
      </c>
      <c r="E14" s="16">
        <v>0</v>
      </c>
      <c r="F14" s="16">
        <v>0</v>
      </c>
      <c r="G14" s="21" t="s">
        <v>20</v>
      </c>
      <c r="H14" s="21" t="s">
        <v>20</v>
      </c>
      <c r="I14" s="21" t="s">
        <v>20</v>
      </c>
      <c r="J14" s="22" t="s">
        <v>20</v>
      </c>
      <c r="K14" s="23" t="s">
        <v>20</v>
      </c>
      <c r="L14" s="14">
        <f t="shared" si="7"/>
        <v>18.6</v>
      </c>
      <c r="M14" s="25">
        <v>18.6</v>
      </c>
      <c r="N14" s="6">
        <v>0</v>
      </c>
      <c r="O14" s="6">
        <v>0</v>
      </c>
      <c r="P14" s="21" t="s">
        <v>20</v>
      </c>
      <c r="Q14" s="21" t="s">
        <v>20</v>
      </c>
      <c r="R14" s="21" t="s">
        <v>20</v>
      </c>
      <c r="S14" s="22" t="s">
        <v>20</v>
      </c>
      <c r="T14" s="23" t="s">
        <v>20</v>
      </c>
      <c r="U14" s="6">
        <f t="shared" si="17"/>
        <v>103.91061452513968</v>
      </c>
      <c r="V14" s="6">
        <f aca="true" t="shared" si="24" ref="V14:V25">M14/D14*100</f>
        <v>103.91061452513968</v>
      </c>
      <c r="W14" s="6">
        <v>0</v>
      </c>
      <c r="X14" s="6">
        <v>0</v>
      </c>
      <c r="Y14" s="21" t="s">
        <v>20</v>
      </c>
      <c r="Z14" s="21" t="s">
        <v>20</v>
      </c>
      <c r="AA14" s="21" t="s">
        <v>20</v>
      </c>
      <c r="AB14" s="22" t="s">
        <v>20</v>
      </c>
      <c r="AC14" s="150" t="s">
        <v>13</v>
      </c>
      <c r="AD14" s="23" t="s">
        <v>20</v>
      </c>
      <c r="AE14" s="11">
        <f t="shared" si="8"/>
        <v>14</v>
      </c>
      <c r="AF14" s="25">
        <v>14</v>
      </c>
      <c r="AG14" s="6">
        <v>0</v>
      </c>
      <c r="AH14" s="6">
        <v>0</v>
      </c>
      <c r="AI14" s="21" t="s">
        <v>20</v>
      </c>
      <c r="AJ14" s="21" t="s">
        <v>20</v>
      </c>
      <c r="AK14" s="21" t="s">
        <v>20</v>
      </c>
      <c r="AL14" s="22" t="s">
        <v>20</v>
      </c>
      <c r="AM14" s="23" t="s">
        <v>20</v>
      </c>
      <c r="AN14" s="62">
        <f t="shared" si="19"/>
        <v>75.26881720430107</v>
      </c>
      <c r="AO14" s="62">
        <f t="shared" si="20"/>
        <v>75.26881720430107</v>
      </c>
      <c r="AP14" s="62"/>
      <c r="AQ14" s="62"/>
      <c r="AR14" s="21" t="s">
        <v>20</v>
      </c>
      <c r="AS14" s="21" t="s">
        <v>20</v>
      </c>
      <c r="AT14" s="21" t="s">
        <v>20</v>
      </c>
      <c r="AU14" s="146" t="s">
        <v>20</v>
      </c>
      <c r="AV14" s="151" t="s">
        <v>13</v>
      </c>
      <c r="AW14" s="23" t="s">
        <v>20</v>
      </c>
      <c r="AX14" s="11">
        <f t="shared" si="9"/>
        <v>12.9</v>
      </c>
      <c r="AY14" s="25">
        <v>12.9</v>
      </c>
      <c r="AZ14" s="6">
        <v>0</v>
      </c>
      <c r="BA14" s="6">
        <v>0</v>
      </c>
      <c r="BB14" s="21" t="s">
        <v>20</v>
      </c>
      <c r="BC14" s="21" t="s">
        <v>20</v>
      </c>
      <c r="BD14" s="21" t="s">
        <v>20</v>
      </c>
      <c r="BE14" s="22" t="s">
        <v>20</v>
      </c>
      <c r="BF14" s="160"/>
      <c r="BG14" s="12">
        <f t="shared" si="10"/>
        <v>92.14285714285715</v>
      </c>
      <c r="BH14" s="62">
        <f t="shared" si="22"/>
        <v>92.14285714285715</v>
      </c>
      <c r="BI14" s="62"/>
      <c r="BJ14" s="62"/>
      <c r="BK14" s="21" t="s">
        <v>20</v>
      </c>
      <c r="BL14" s="62" t="e">
        <f t="shared" si="11"/>
        <v>#VALUE!</v>
      </c>
      <c r="BM14" s="62" t="e">
        <f t="shared" si="12"/>
        <v>#VALUE!</v>
      </c>
      <c r="BN14" s="161" t="e">
        <f t="shared" si="13"/>
        <v>#VALUE!</v>
      </c>
      <c r="BO14" s="23" t="s">
        <v>20</v>
      </c>
      <c r="BP14" s="11">
        <f t="shared" si="14"/>
        <v>31.767</v>
      </c>
      <c r="BQ14" s="25">
        <v>31.767</v>
      </c>
      <c r="BR14" s="25">
        <v>0</v>
      </c>
      <c r="BS14" s="26">
        <v>0</v>
      </c>
      <c r="BT14" s="21" t="s">
        <v>20</v>
      </c>
      <c r="BU14" s="21" t="s">
        <v>20</v>
      </c>
      <c r="BV14" s="21" t="s">
        <v>20</v>
      </c>
      <c r="BW14" s="146" t="s">
        <v>20</v>
      </c>
      <c r="BX14" s="69"/>
      <c r="BY14" s="11">
        <f t="shared" si="15"/>
        <v>246.25581395348837</v>
      </c>
      <c r="BZ14" s="11">
        <f t="shared" si="16"/>
        <v>246.25581395348837</v>
      </c>
      <c r="CA14" s="11">
        <v>0</v>
      </c>
      <c r="CB14" s="11">
        <v>0</v>
      </c>
      <c r="CC14" s="11"/>
      <c r="CD14" s="21" t="s">
        <v>20</v>
      </c>
      <c r="CE14" s="62" t="e">
        <f t="shared" si="4"/>
        <v>#VALUE!</v>
      </c>
      <c r="CF14" s="161" t="e">
        <f t="shared" si="5"/>
        <v>#VALUE!</v>
      </c>
    </row>
    <row r="15" spans="1:84" ht="39" customHeight="1">
      <c r="A15" s="56" t="s">
        <v>53</v>
      </c>
      <c r="B15" s="23" t="s">
        <v>20</v>
      </c>
      <c r="C15" s="71">
        <f t="shared" si="6"/>
        <v>140.686</v>
      </c>
      <c r="D15" s="25">
        <v>0.238</v>
      </c>
      <c r="E15" s="16">
        <v>140.448</v>
      </c>
      <c r="F15" s="16">
        <v>0</v>
      </c>
      <c r="G15" s="21" t="s">
        <v>20</v>
      </c>
      <c r="H15" s="21" t="s">
        <v>20</v>
      </c>
      <c r="I15" s="21" t="s">
        <v>20</v>
      </c>
      <c r="J15" s="22" t="s">
        <v>20</v>
      </c>
      <c r="K15" s="23" t="s">
        <v>20</v>
      </c>
      <c r="L15" s="14">
        <f t="shared" si="7"/>
        <v>99.31800000000001</v>
      </c>
      <c r="M15" s="25">
        <v>0.01</v>
      </c>
      <c r="N15" s="5">
        <v>99.308</v>
      </c>
      <c r="O15" s="6">
        <v>0</v>
      </c>
      <c r="P15" s="21" t="s">
        <v>20</v>
      </c>
      <c r="Q15" s="21" t="s">
        <v>20</v>
      </c>
      <c r="R15" s="21" t="s">
        <v>20</v>
      </c>
      <c r="S15" s="22" t="s">
        <v>20</v>
      </c>
      <c r="T15" s="23" t="s">
        <v>20</v>
      </c>
      <c r="U15" s="6">
        <f t="shared" si="17"/>
        <v>70.59551056963736</v>
      </c>
      <c r="V15" s="6">
        <f t="shared" si="24"/>
        <v>4.201680672268908</v>
      </c>
      <c r="W15" s="6">
        <f>N15/E15*100</f>
        <v>70.70802005012531</v>
      </c>
      <c r="X15" s="6">
        <v>0</v>
      </c>
      <c r="Y15" s="21" t="s">
        <v>20</v>
      </c>
      <c r="Z15" s="21" t="s">
        <v>20</v>
      </c>
      <c r="AA15" s="21" t="s">
        <v>20</v>
      </c>
      <c r="AB15" s="22" t="s">
        <v>20</v>
      </c>
      <c r="AC15" s="150" t="s">
        <v>38</v>
      </c>
      <c r="AD15" s="23" t="s">
        <v>20</v>
      </c>
      <c r="AE15" s="11">
        <f t="shared" si="8"/>
        <v>42.93</v>
      </c>
      <c r="AF15" s="25">
        <v>0</v>
      </c>
      <c r="AG15" s="5">
        <v>42.93</v>
      </c>
      <c r="AH15" s="6">
        <v>0</v>
      </c>
      <c r="AI15" s="21" t="s">
        <v>20</v>
      </c>
      <c r="AJ15" s="21" t="s">
        <v>20</v>
      </c>
      <c r="AK15" s="21" t="s">
        <v>20</v>
      </c>
      <c r="AL15" s="22" t="s">
        <v>20</v>
      </c>
      <c r="AM15" s="23" t="s">
        <v>20</v>
      </c>
      <c r="AN15" s="62">
        <f t="shared" si="19"/>
        <v>43.22479308886606</v>
      </c>
      <c r="AO15" s="62">
        <f t="shared" si="20"/>
        <v>0</v>
      </c>
      <c r="AP15" s="62">
        <f t="shared" si="21"/>
        <v>43.22914568816208</v>
      </c>
      <c r="AQ15" s="62"/>
      <c r="AR15" s="21" t="s">
        <v>20</v>
      </c>
      <c r="AS15" s="21" t="s">
        <v>20</v>
      </c>
      <c r="AT15" s="21" t="s">
        <v>20</v>
      </c>
      <c r="AU15" s="146" t="s">
        <v>20</v>
      </c>
      <c r="AV15" s="151" t="s">
        <v>38</v>
      </c>
      <c r="AW15" s="23" t="s">
        <v>20</v>
      </c>
      <c r="AX15" s="11">
        <f t="shared" si="9"/>
        <v>24.755</v>
      </c>
      <c r="AY15" s="25">
        <v>2.505</v>
      </c>
      <c r="AZ15" s="5">
        <v>22.25</v>
      </c>
      <c r="BA15" s="6">
        <v>0</v>
      </c>
      <c r="BB15" s="21" t="s">
        <v>20</v>
      </c>
      <c r="BC15" s="21" t="s">
        <v>20</v>
      </c>
      <c r="BD15" s="21" t="s">
        <v>20</v>
      </c>
      <c r="BE15" s="22" t="s">
        <v>20</v>
      </c>
      <c r="BF15" s="160"/>
      <c r="BG15" s="12">
        <f t="shared" si="10"/>
        <v>57.66363848124855</v>
      </c>
      <c r="BH15" s="62"/>
      <c r="BI15" s="62">
        <f t="shared" si="23"/>
        <v>51.828558117866294</v>
      </c>
      <c r="BJ15" s="62"/>
      <c r="BK15" s="21" t="s">
        <v>20</v>
      </c>
      <c r="BL15" s="62" t="e">
        <f t="shared" si="11"/>
        <v>#VALUE!</v>
      </c>
      <c r="BM15" s="62" t="e">
        <f t="shared" si="12"/>
        <v>#VALUE!</v>
      </c>
      <c r="BN15" s="161" t="e">
        <f t="shared" si="13"/>
        <v>#VALUE!</v>
      </c>
      <c r="BO15" s="23" t="s">
        <v>20</v>
      </c>
      <c r="BP15" s="11">
        <f t="shared" si="14"/>
        <v>39.942</v>
      </c>
      <c r="BQ15" s="25">
        <v>12.278</v>
      </c>
      <c r="BR15" s="25">
        <v>27.664</v>
      </c>
      <c r="BS15" s="26">
        <v>0</v>
      </c>
      <c r="BT15" s="21" t="s">
        <v>20</v>
      </c>
      <c r="BU15" s="21" t="s">
        <v>20</v>
      </c>
      <c r="BV15" s="21" t="s">
        <v>20</v>
      </c>
      <c r="BW15" s="146" t="s">
        <v>20</v>
      </c>
      <c r="BX15" s="69"/>
      <c r="BY15" s="11">
        <f t="shared" si="15"/>
        <v>161.34922237931733</v>
      </c>
      <c r="BZ15" s="11">
        <f t="shared" si="16"/>
        <v>490.1397205588823</v>
      </c>
      <c r="CA15" s="11">
        <f t="shared" si="18"/>
        <v>124.33258426966293</v>
      </c>
      <c r="CB15" s="11">
        <v>0</v>
      </c>
      <c r="CC15" s="11"/>
      <c r="CD15" s="21" t="s">
        <v>20</v>
      </c>
      <c r="CE15" s="62" t="e">
        <f t="shared" si="4"/>
        <v>#VALUE!</v>
      </c>
      <c r="CF15" s="161" t="e">
        <f t="shared" si="5"/>
        <v>#VALUE!</v>
      </c>
    </row>
    <row r="16" spans="1:84" ht="12" customHeight="1">
      <c r="A16" s="56" t="s">
        <v>14</v>
      </c>
      <c r="B16" s="23" t="s">
        <v>20</v>
      </c>
      <c r="C16" s="71">
        <f t="shared" si="6"/>
        <v>703.664</v>
      </c>
      <c r="D16" s="25">
        <v>137.264</v>
      </c>
      <c r="E16" s="16">
        <v>566.4</v>
      </c>
      <c r="F16" s="16">
        <v>0</v>
      </c>
      <c r="G16" s="21" t="s">
        <v>20</v>
      </c>
      <c r="H16" s="21" t="s">
        <v>20</v>
      </c>
      <c r="I16" s="21" t="s">
        <v>20</v>
      </c>
      <c r="J16" s="22" t="s">
        <v>20</v>
      </c>
      <c r="K16" s="23" t="s">
        <v>20</v>
      </c>
      <c r="L16" s="14">
        <f t="shared" si="7"/>
        <v>275.964</v>
      </c>
      <c r="M16" s="25">
        <v>16.064</v>
      </c>
      <c r="N16" s="5">
        <v>259.9</v>
      </c>
      <c r="O16" s="6">
        <v>0</v>
      </c>
      <c r="P16" s="21" t="s">
        <v>20</v>
      </c>
      <c r="Q16" s="21" t="s">
        <v>20</v>
      </c>
      <c r="R16" s="21" t="s">
        <v>20</v>
      </c>
      <c r="S16" s="22" t="s">
        <v>20</v>
      </c>
      <c r="T16" s="23" t="s">
        <v>20</v>
      </c>
      <c r="U16" s="6">
        <f t="shared" si="17"/>
        <v>39.21814957138635</v>
      </c>
      <c r="V16" s="6">
        <f t="shared" si="24"/>
        <v>11.702995687143023</v>
      </c>
      <c r="W16" s="6">
        <f>N16/E16*100</f>
        <v>45.88629943502824</v>
      </c>
      <c r="X16" s="6">
        <v>0</v>
      </c>
      <c r="Y16" s="21" t="s">
        <v>20</v>
      </c>
      <c r="Z16" s="21" t="s">
        <v>20</v>
      </c>
      <c r="AA16" s="21" t="s">
        <v>20</v>
      </c>
      <c r="AB16" s="22" t="s">
        <v>20</v>
      </c>
      <c r="AC16" s="150" t="s">
        <v>14</v>
      </c>
      <c r="AD16" s="23" t="s">
        <v>20</v>
      </c>
      <c r="AE16" s="11">
        <f t="shared" si="8"/>
        <v>810.234</v>
      </c>
      <c r="AF16" s="25">
        <v>14.234</v>
      </c>
      <c r="AG16" s="5">
        <v>796</v>
      </c>
      <c r="AH16" s="6">
        <v>0</v>
      </c>
      <c r="AI16" s="21" t="s">
        <v>20</v>
      </c>
      <c r="AJ16" s="21" t="s">
        <v>20</v>
      </c>
      <c r="AK16" s="21" t="s">
        <v>20</v>
      </c>
      <c r="AL16" s="22" t="s">
        <v>20</v>
      </c>
      <c r="AM16" s="23" t="s">
        <v>20</v>
      </c>
      <c r="AN16" s="62">
        <f t="shared" si="19"/>
        <v>293.60133930512677</v>
      </c>
      <c r="AO16" s="62">
        <f t="shared" si="20"/>
        <v>88.60806772908366</v>
      </c>
      <c r="AP16" s="62">
        <f t="shared" si="21"/>
        <v>306.2716429395922</v>
      </c>
      <c r="AQ16" s="62"/>
      <c r="AR16" s="21" t="s">
        <v>20</v>
      </c>
      <c r="AS16" s="21" t="s">
        <v>20</v>
      </c>
      <c r="AT16" s="21" t="s">
        <v>20</v>
      </c>
      <c r="AU16" s="146" t="s">
        <v>20</v>
      </c>
      <c r="AV16" s="151" t="s">
        <v>14</v>
      </c>
      <c r="AW16" s="23" t="s">
        <v>20</v>
      </c>
      <c r="AX16" s="11">
        <f t="shared" si="9"/>
        <v>647.487</v>
      </c>
      <c r="AY16" s="25">
        <v>25.694</v>
      </c>
      <c r="AZ16" s="5">
        <v>621.793</v>
      </c>
      <c r="BA16" s="6">
        <v>0</v>
      </c>
      <c r="BB16" s="21" t="s">
        <v>20</v>
      </c>
      <c r="BC16" s="21" t="s">
        <v>20</v>
      </c>
      <c r="BD16" s="21" t="s">
        <v>20</v>
      </c>
      <c r="BE16" s="22" t="s">
        <v>20</v>
      </c>
      <c r="BF16" s="160"/>
      <c r="BG16" s="12">
        <f t="shared" si="10"/>
        <v>79.91358052118275</v>
      </c>
      <c r="BH16" s="62">
        <f t="shared" si="22"/>
        <v>180.51145145426443</v>
      </c>
      <c r="BI16" s="62">
        <f t="shared" si="23"/>
        <v>78.11469849246231</v>
      </c>
      <c r="BJ16" s="62"/>
      <c r="BK16" s="21" t="s">
        <v>20</v>
      </c>
      <c r="BL16" s="62" t="e">
        <f t="shared" si="11"/>
        <v>#VALUE!</v>
      </c>
      <c r="BM16" s="62" t="e">
        <f t="shared" si="12"/>
        <v>#VALUE!</v>
      </c>
      <c r="BN16" s="161" t="e">
        <f t="shared" si="13"/>
        <v>#VALUE!</v>
      </c>
      <c r="BO16" s="23" t="s">
        <v>20</v>
      </c>
      <c r="BP16" s="11">
        <f t="shared" si="14"/>
        <v>489.673</v>
      </c>
      <c r="BQ16" s="25">
        <v>17.95</v>
      </c>
      <c r="BR16" s="25">
        <v>471.723</v>
      </c>
      <c r="BS16" s="26">
        <v>0</v>
      </c>
      <c r="BT16" s="21" t="s">
        <v>20</v>
      </c>
      <c r="BU16" s="21" t="s">
        <v>20</v>
      </c>
      <c r="BV16" s="21" t="s">
        <v>20</v>
      </c>
      <c r="BW16" s="146" t="s">
        <v>20</v>
      </c>
      <c r="BX16" s="69"/>
      <c r="BY16" s="11">
        <f t="shared" si="15"/>
        <v>75.62669211891513</v>
      </c>
      <c r="BZ16" s="11">
        <f t="shared" si="16"/>
        <v>69.86066786020082</v>
      </c>
      <c r="CA16" s="11">
        <f t="shared" si="18"/>
        <v>75.86495827389501</v>
      </c>
      <c r="CB16" s="11">
        <v>0</v>
      </c>
      <c r="CC16" s="11"/>
      <c r="CD16" s="21" t="s">
        <v>20</v>
      </c>
      <c r="CE16" s="62" t="e">
        <f t="shared" si="4"/>
        <v>#VALUE!</v>
      </c>
      <c r="CF16" s="161" t="e">
        <f t="shared" si="5"/>
        <v>#VALUE!</v>
      </c>
    </row>
    <row r="17" spans="1:84" ht="39" customHeight="1">
      <c r="A17" s="56" t="s">
        <v>22</v>
      </c>
      <c r="B17" s="23" t="s">
        <v>20</v>
      </c>
      <c r="C17" s="71">
        <f t="shared" si="6"/>
        <v>1703.966</v>
      </c>
      <c r="D17" s="25">
        <v>1247.566</v>
      </c>
      <c r="E17" s="16">
        <v>456.4</v>
      </c>
      <c r="F17" s="16">
        <v>0</v>
      </c>
      <c r="G17" s="21" t="s">
        <v>20</v>
      </c>
      <c r="H17" s="21" t="s">
        <v>20</v>
      </c>
      <c r="I17" s="21" t="s">
        <v>20</v>
      </c>
      <c r="J17" s="22" t="s">
        <v>20</v>
      </c>
      <c r="K17" s="23" t="s">
        <v>20</v>
      </c>
      <c r="L17" s="14">
        <f t="shared" si="7"/>
        <v>1747.072</v>
      </c>
      <c r="M17" s="25">
        <v>1255.772</v>
      </c>
      <c r="N17" s="5">
        <v>491.3</v>
      </c>
      <c r="O17" s="6">
        <v>0</v>
      </c>
      <c r="P17" s="21" t="s">
        <v>20</v>
      </c>
      <c r="Q17" s="21" t="s">
        <v>20</v>
      </c>
      <c r="R17" s="21" t="s">
        <v>20</v>
      </c>
      <c r="S17" s="22" t="s">
        <v>20</v>
      </c>
      <c r="T17" s="23" t="s">
        <v>20</v>
      </c>
      <c r="U17" s="6">
        <f t="shared" si="17"/>
        <v>102.5297453118196</v>
      </c>
      <c r="V17" s="6">
        <f t="shared" si="24"/>
        <v>100.65776079181381</v>
      </c>
      <c r="W17" s="6">
        <f>N17/E17*100</f>
        <v>107.64680105170903</v>
      </c>
      <c r="X17" s="6">
        <v>0</v>
      </c>
      <c r="Y17" s="21" t="s">
        <v>20</v>
      </c>
      <c r="Z17" s="21" t="s">
        <v>20</v>
      </c>
      <c r="AA17" s="21" t="s">
        <v>20</v>
      </c>
      <c r="AB17" s="22" t="s">
        <v>20</v>
      </c>
      <c r="AC17" s="150" t="s">
        <v>22</v>
      </c>
      <c r="AD17" s="23" t="s">
        <v>20</v>
      </c>
      <c r="AE17" s="11">
        <f t="shared" si="8"/>
        <v>1947.6129999999998</v>
      </c>
      <c r="AF17" s="25">
        <v>1314.955</v>
      </c>
      <c r="AG17" s="5">
        <v>632.658</v>
      </c>
      <c r="AH17" s="6">
        <v>0</v>
      </c>
      <c r="AI17" s="21" t="s">
        <v>20</v>
      </c>
      <c r="AJ17" s="21" t="s">
        <v>20</v>
      </c>
      <c r="AK17" s="21" t="s">
        <v>20</v>
      </c>
      <c r="AL17" s="22" t="s">
        <v>20</v>
      </c>
      <c r="AM17" s="23" t="s">
        <v>20</v>
      </c>
      <c r="AN17" s="62">
        <f t="shared" si="19"/>
        <v>111.47869120448384</v>
      </c>
      <c r="AO17" s="62">
        <f t="shared" si="20"/>
        <v>104.71287781539962</v>
      </c>
      <c r="AP17" s="62">
        <f t="shared" si="21"/>
        <v>128.77223692245065</v>
      </c>
      <c r="AQ17" s="62"/>
      <c r="AR17" s="21" t="s">
        <v>20</v>
      </c>
      <c r="AS17" s="21" t="s">
        <v>20</v>
      </c>
      <c r="AT17" s="21" t="s">
        <v>20</v>
      </c>
      <c r="AU17" s="146" t="s">
        <v>20</v>
      </c>
      <c r="AV17" s="151" t="s">
        <v>22</v>
      </c>
      <c r="AW17" s="23" t="s">
        <v>20</v>
      </c>
      <c r="AX17" s="11">
        <f t="shared" si="9"/>
        <v>2102.6620000000003</v>
      </c>
      <c r="AY17" s="25">
        <v>1587.02</v>
      </c>
      <c r="AZ17" s="5">
        <v>515.642</v>
      </c>
      <c r="BA17" s="6">
        <v>0</v>
      </c>
      <c r="BB17" s="21" t="s">
        <v>20</v>
      </c>
      <c r="BC17" s="21" t="s">
        <v>20</v>
      </c>
      <c r="BD17" s="21" t="s">
        <v>20</v>
      </c>
      <c r="BE17" s="22" t="s">
        <v>20</v>
      </c>
      <c r="BF17" s="160"/>
      <c r="BG17" s="12">
        <f t="shared" si="10"/>
        <v>107.960975820145</v>
      </c>
      <c r="BH17" s="62">
        <f t="shared" si="22"/>
        <v>120.69006163709024</v>
      </c>
      <c r="BI17" s="62">
        <f t="shared" si="23"/>
        <v>81.50406696825142</v>
      </c>
      <c r="BJ17" s="62"/>
      <c r="BK17" s="21" t="s">
        <v>20</v>
      </c>
      <c r="BL17" s="62" t="e">
        <f t="shared" si="11"/>
        <v>#VALUE!</v>
      </c>
      <c r="BM17" s="62" t="e">
        <f t="shared" si="12"/>
        <v>#VALUE!</v>
      </c>
      <c r="BN17" s="161" t="e">
        <f t="shared" si="13"/>
        <v>#VALUE!</v>
      </c>
      <c r="BO17" s="23" t="s">
        <v>20</v>
      </c>
      <c r="BP17" s="11">
        <f t="shared" si="14"/>
        <v>2076.58</v>
      </c>
      <c r="BQ17" s="25">
        <v>1457.806</v>
      </c>
      <c r="BR17" s="25">
        <v>618.774</v>
      </c>
      <c r="BS17" s="26">
        <v>0</v>
      </c>
      <c r="BT17" s="21" t="s">
        <v>20</v>
      </c>
      <c r="BU17" s="21" t="s">
        <v>20</v>
      </c>
      <c r="BV17" s="21" t="s">
        <v>20</v>
      </c>
      <c r="BW17" s="146" t="s">
        <v>20</v>
      </c>
      <c r="BX17" s="69"/>
      <c r="BY17" s="11">
        <f t="shared" si="15"/>
        <v>98.75957238966603</v>
      </c>
      <c r="BZ17" s="11">
        <f t="shared" si="16"/>
        <v>91.85807362226059</v>
      </c>
      <c r="CA17" s="11">
        <f t="shared" si="18"/>
        <v>120.00069815880008</v>
      </c>
      <c r="CB17" s="11">
        <v>0</v>
      </c>
      <c r="CC17" s="11"/>
      <c r="CD17" s="21" t="s">
        <v>20</v>
      </c>
      <c r="CE17" s="62" t="e">
        <f t="shared" si="4"/>
        <v>#VALUE!</v>
      </c>
      <c r="CF17" s="161" t="e">
        <f t="shared" si="5"/>
        <v>#VALUE!</v>
      </c>
    </row>
    <row r="18" spans="1:84" ht="21.75" customHeight="1">
      <c r="A18" s="56" t="s">
        <v>27</v>
      </c>
      <c r="B18" s="23" t="s">
        <v>20</v>
      </c>
      <c r="C18" s="71">
        <f t="shared" si="6"/>
        <v>33.634</v>
      </c>
      <c r="D18" s="25">
        <v>33.634</v>
      </c>
      <c r="E18" s="16">
        <v>0</v>
      </c>
      <c r="F18" s="16">
        <v>0</v>
      </c>
      <c r="G18" s="21" t="s">
        <v>20</v>
      </c>
      <c r="H18" s="21" t="s">
        <v>20</v>
      </c>
      <c r="I18" s="21" t="s">
        <v>20</v>
      </c>
      <c r="J18" s="22" t="s">
        <v>20</v>
      </c>
      <c r="K18" s="23" t="s">
        <v>20</v>
      </c>
      <c r="L18" s="14">
        <f t="shared" si="7"/>
        <v>57.257</v>
      </c>
      <c r="M18" s="25">
        <v>57.257</v>
      </c>
      <c r="N18" s="6">
        <v>0</v>
      </c>
      <c r="O18" s="6">
        <v>0</v>
      </c>
      <c r="P18" s="21" t="s">
        <v>20</v>
      </c>
      <c r="Q18" s="21" t="s">
        <v>20</v>
      </c>
      <c r="R18" s="21" t="s">
        <v>20</v>
      </c>
      <c r="S18" s="22" t="s">
        <v>20</v>
      </c>
      <c r="T18" s="23" t="s">
        <v>20</v>
      </c>
      <c r="U18" s="6">
        <f t="shared" si="17"/>
        <v>170.23547600642206</v>
      </c>
      <c r="V18" s="6">
        <f t="shared" si="24"/>
        <v>170.23547600642206</v>
      </c>
      <c r="W18" s="6">
        <v>0</v>
      </c>
      <c r="X18" s="6">
        <v>0</v>
      </c>
      <c r="Y18" s="21" t="s">
        <v>20</v>
      </c>
      <c r="Z18" s="21" t="s">
        <v>20</v>
      </c>
      <c r="AA18" s="21" t="s">
        <v>20</v>
      </c>
      <c r="AB18" s="22" t="s">
        <v>20</v>
      </c>
      <c r="AC18" s="150" t="s">
        <v>27</v>
      </c>
      <c r="AD18" s="23" t="s">
        <v>20</v>
      </c>
      <c r="AE18" s="11">
        <f t="shared" si="8"/>
        <v>63.616</v>
      </c>
      <c r="AF18" s="25">
        <v>63.616</v>
      </c>
      <c r="AG18" s="26">
        <v>0</v>
      </c>
      <c r="AH18" s="6">
        <v>0</v>
      </c>
      <c r="AI18" s="21" t="s">
        <v>20</v>
      </c>
      <c r="AJ18" s="21" t="s">
        <v>20</v>
      </c>
      <c r="AK18" s="21" t="s">
        <v>20</v>
      </c>
      <c r="AL18" s="22" t="s">
        <v>20</v>
      </c>
      <c r="AM18" s="23" t="s">
        <v>20</v>
      </c>
      <c r="AN18" s="62">
        <f t="shared" si="19"/>
        <v>111.10606563389629</v>
      </c>
      <c r="AO18" s="62">
        <f t="shared" si="20"/>
        <v>111.10606563389629</v>
      </c>
      <c r="AP18" s="62"/>
      <c r="AQ18" s="62"/>
      <c r="AR18" s="21" t="s">
        <v>20</v>
      </c>
      <c r="AS18" s="21" t="s">
        <v>20</v>
      </c>
      <c r="AT18" s="21" t="s">
        <v>20</v>
      </c>
      <c r="AU18" s="146" t="s">
        <v>20</v>
      </c>
      <c r="AV18" s="151" t="s">
        <v>27</v>
      </c>
      <c r="AW18" s="23" t="s">
        <v>20</v>
      </c>
      <c r="AX18" s="11">
        <f t="shared" si="9"/>
        <v>99.666</v>
      </c>
      <c r="AY18" s="25">
        <v>99.666</v>
      </c>
      <c r="AZ18" s="6">
        <v>0</v>
      </c>
      <c r="BA18" s="6">
        <v>0</v>
      </c>
      <c r="BB18" s="21" t="s">
        <v>20</v>
      </c>
      <c r="BC18" s="21" t="s">
        <v>20</v>
      </c>
      <c r="BD18" s="21" t="s">
        <v>20</v>
      </c>
      <c r="BE18" s="22" t="s">
        <v>20</v>
      </c>
      <c r="BF18" s="160"/>
      <c r="BG18" s="12">
        <f t="shared" si="10"/>
        <v>156.6681338028169</v>
      </c>
      <c r="BH18" s="62">
        <f t="shared" si="22"/>
        <v>156.6681338028169</v>
      </c>
      <c r="BI18" s="62"/>
      <c r="BJ18" s="62"/>
      <c r="BK18" s="21" t="s">
        <v>20</v>
      </c>
      <c r="BL18" s="62" t="e">
        <f t="shared" si="11"/>
        <v>#VALUE!</v>
      </c>
      <c r="BM18" s="62" t="e">
        <f t="shared" si="12"/>
        <v>#VALUE!</v>
      </c>
      <c r="BN18" s="161" t="e">
        <f t="shared" si="13"/>
        <v>#VALUE!</v>
      </c>
      <c r="BO18" s="23" t="s">
        <v>20</v>
      </c>
      <c r="BP18" s="11">
        <f t="shared" si="14"/>
        <v>59.699</v>
      </c>
      <c r="BQ18" s="25">
        <v>59.699</v>
      </c>
      <c r="BR18" s="25">
        <v>0</v>
      </c>
      <c r="BS18" s="26">
        <v>0</v>
      </c>
      <c r="BT18" s="21" t="s">
        <v>20</v>
      </c>
      <c r="BU18" s="21" t="s">
        <v>20</v>
      </c>
      <c r="BV18" s="21" t="s">
        <v>20</v>
      </c>
      <c r="BW18" s="146" t="s">
        <v>20</v>
      </c>
      <c r="BX18" s="69"/>
      <c r="BY18" s="11">
        <f t="shared" si="15"/>
        <v>59.899062869985755</v>
      </c>
      <c r="BZ18" s="11">
        <f t="shared" si="16"/>
        <v>59.899062869985755</v>
      </c>
      <c r="CA18" s="11">
        <v>0</v>
      </c>
      <c r="CB18" s="11">
        <v>0</v>
      </c>
      <c r="CC18" s="11"/>
      <c r="CD18" s="21" t="s">
        <v>20</v>
      </c>
      <c r="CE18" s="62" t="e">
        <f t="shared" si="4"/>
        <v>#VALUE!</v>
      </c>
      <c r="CF18" s="161" t="e">
        <f t="shared" si="5"/>
        <v>#VALUE!</v>
      </c>
    </row>
    <row r="19" spans="1:84" ht="12.75" customHeight="1">
      <c r="A19" s="57" t="s">
        <v>23</v>
      </c>
      <c r="B19" s="23" t="s">
        <v>20</v>
      </c>
      <c r="C19" s="71">
        <f t="shared" si="6"/>
        <v>77.30799999999999</v>
      </c>
      <c r="D19" s="25">
        <v>26.308</v>
      </c>
      <c r="E19" s="16">
        <v>51</v>
      </c>
      <c r="F19" s="16">
        <v>0</v>
      </c>
      <c r="G19" s="21" t="s">
        <v>20</v>
      </c>
      <c r="H19" s="21" t="s">
        <v>20</v>
      </c>
      <c r="I19" s="21" t="s">
        <v>20</v>
      </c>
      <c r="J19" s="22" t="s">
        <v>20</v>
      </c>
      <c r="K19" s="23" t="s">
        <v>20</v>
      </c>
      <c r="L19" s="14">
        <f t="shared" si="7"/>
        <v>52.771</v>
      </c>
      <c r="M19" s="25">
        <v>28.771</v>
      </c>
      <c r="N19" s="6">
        <v>24</v>
      </c>
      <c r="O19" s="6">
        <v>0</v>
      </c>
      <c r="P19" s="21" t="s">
        <v>20</v>
      </c>
      <c r="Q19" s="21" t="s">
        <v>20</v>
      </c>
      <c r="R19" s="21" t="s">
        <v>20</v>
      </c>
      <c r="S19" s="22" t="s">
        <v>20</v>
      </c>
      <c r="T19" s="23" t="s">
        <v>20</v>
      </c>
      <c r="U19" s="6">
        <f t="shared" si="17"/>
        <v>68.26072334040462</v>
      </c>
      <c r="V19" s="6">
        <f t="shared" si="24"/>
        <v>109.362171202676</v>
      </c>
      <c r="W19" s="6">
        <f>N19/E19*100</f>
        <v>47.05882352941176</v>
      </c>
      <c r="X19" s="6">
        <v>0</v>
      </c>
      <c r="Y19" s="21" t="s">
        <v>20</v>
      </c>
      <c r="Z19" s="21" t="s">
        <v>20</v>
      </c>
      <c r="AA19" s="21" t="s">
        <v>20</v>
      </c>
      <c r="AB19" s="22" t="s">
        <v>20</v>
      </c>
      <c r="AC19" s="152" t="s">
        <v>23</v>
      </c>
      <c r="AD19" s="23" t="s">
        <v>20</v>
      </c>
      <c r="AE19" s="11">
        <f t="shared" si="8"/>
        <v>120.339</v>
      </c>
      <c r="AF19" s="25">
        <v>114.839</v>
      </c>
      <c r="AG19" s="26">
        <v>5.5</v>
      </c>
      <c r="AH19" s="6">
        <v>0</v>
      </c>
      <c r="AI19" s="21" t="s">
        <v>20</v>
      </c>
      <c r="AJ19" s="21" t="s">
        <v>20</v>
      </c>
      <c r="AK19" s="21" t="s">
        <v>20</v>
      </c>
      <c r="AL19" s="22" t="s">
        <v>20</v>
      </c>
      <c r="AM19" s="23" t="s">
        <v>20</v>
      </c>
      <c r="AN19" s="62">
        <f t="shared" si="19"/>
        <v>228.04002198177028</v>
      </c>
      <c r="AO19" s="62">
        <f t="shared" si="20"/>
        <v>399.1484480900907</v>
      </c>
      <c r="AP19" s="62">
        <f t="shared" si="21"/>
        <v>22.916666666666664</v>
      </c>
      <c r="AQ19" s="62"/>
      <c r="AR19" s="21" t="s">
        <v>20</v>
      </c>
      <c r="AS19" s="21" t="s">
        <v>20</v>
      </c>
      <c r="AT19" s="21" t="s">
        <v>20</v>
      </c>
      <c r="AU19" s="146" t="s">
        <v>20</v>
      </c>
      <c r="AV19" s="153" t="s">
        <v>23</v>
      </c>
      <c r="AW19" s="23" t="s">
        <v>20</v>
      </c>
      <c r="AX19" s="11">
        <f t="shared" si="9"/>
        <v>216.81900000000002</v>
      </c>
      <c r="AY19" s="25">
        <v>204.163</v>
      </c>
      <c r="AZ19" s="5">
        <v>12.656</v>
      </c>
      <c r="BA19" s="6">
        <v>0</v>
      </c>
      <c r="BB19" s="21" t="s">
        <v>20</v>
      </c>
      <c r="BC19" s="21" t="s">
        <v>20</v>
      </c>
      <c r="BD19" s="21" t="s">
        <v>20</v>
      </c>
      <c r="BE19" s="22" t="s">
        <v>20</v>
      </c>
      <c r="BF19" s="160"/>
      <c r="BG19" s="12">
        <f t="shared" si="10"/>
        <v>180.17350983471692</v>
      </c>
      <c r="BH19" s="62">
        <f t="shared" si="22"/>
        <v>177.7819381917293</v>
      </c>
      <c r="BI19" s="62">
        <f t="shared" si="23"/>
        <v>230.1090909090909</v>
      </c>
      <c r="BJ19" s="62"/>
      <c r="BK19" s="21" t="s">
        <v>20</v>
      </c>
      <c r="BL19" s="62" t="e">
        <f t="shared" si="11"/>
        <v>#VALUE!</v>
      </c>
      <c r="BM19" s="62" t="e">
        <f t="shared" si="12"/>
        <v>#VALUE!</v>
      </c>
      <c r="BN19" s="161" t="e">
        <f t="shared" si="13"/>
        <v>#VALUE!</v>
      </c>
      <c r="BO19" s="23" t="s">
        <v>20</v>
      </c>
      <c r="BP19" s="11">
        <f t="shared" si="14"/>
        <v>274.81</v>
      </c>
      <c r="BQ19" s="25">
        <v>31.711</v>
      </c>
      <c r="BR19" s="25">
        <v>243.099</v>
      </c>
      <c r="BS19" s="26">
        <v>0</v>
      </c>
      <c r="BT19" s="21" t="s">
        <v>20</v>
      </c>
      <c r="BU19" s="21" t="s">
        <v>20</v>
      </c>
      <c r="BV19" s="21" t="s">
        <v>20</v>
      </c>
      <c r="BW19" s="146" t="s">
        <v>20</v>
      </c>
      <c r="BX19" s="69"/>
      <c r="BY19" s="11">
        <f t="shared" si="15"/>
        <v>126.74627223628924</v>
      </c>
      <c r="BZ19" s="11">
        <f t="shared" si="16"/>
        <v>15.532197312931334</v>
      </c>
      <c r="CA19" s="11">
        <f t="shared" si="18"/>
        <v>1920.8201643489253</v>
      </c>
      <c r="CB19" s="11">
        <v>0</v>
      </c>
      <c r="CC19" s="11"/>
      <c r="CD19" s="21" t="s">
        <v>20</v>
      </c>
      <c r="CE19" s="62" t="e">
        <f t="shared" si="4"/>
        <v>#VALUE!</v>
      </c>
      <c r="CF19" s="161" t="e">
        <f t="shared" si="5"/>
        <v>#VALUE!</v>
      </c>
    </row>
    <row r="20" spans="1:84" ht="13.5" customHeight="1">
      <c r="A20" s="57" t="s">
        <v>24</v>
      </c>
      <c r="B20" s="23" t="s">
        <v>20</v>
      </c>
      <c r="C20" s="71">
        <f t="shared" si="6"/>
        <v>2.949</v>
      </c>
      <c r="D20" s="25">
        <v>2.949</v>
      </c>
      <c r="E20" s="16">
        <v>0</v>
      </c>
      <c r="F20" s="16">
        <v>0</v>
      </c>
      <c r="G20" s="21" t="s">
        <v>20</v>
      </c>
      <c r="H20" s="21" t="s">
        <v>20</v>
      </c>
      <c r="I20" s="21" t="s">
        <v>20</v>
      </c>
      <c r="J20" s="22" t="s">
        <v>20</v>
      </c>
      <c r="K20" s="23" t="s">
        <v>20</v>
      </c>
      <c r="L20" s="14">
        <f t="shared" si="7"/>
        <v>0.165</v>
      </c>
      <c r="M20" s="25">
        <v>0.165</v>
      </c>
      <c r="N20" s="6">
        <v>0</v>
      </c>
      <c r="O20" s="6">
        <v>0</v>
      </c>
      <c r="P20" s="21" t="s">
        <v>20</v>
      </c>
      <c r="Q20" s="21" t="s">
        <v>20</v>
      </c>
      <c r="R20" s="21" t="s">
        <v>20</v>
      </c>
      <c r="S20" s="22" t="s">
        <v>20</v>
      </c>
      <c r="T20" s="23" t="s">
        <v>20</v>
      </c>
      <c r="U20" s="6">
        <f t="shared" si="17"/>
        <v>5.5951169888097665</v>
      </c>
      <c r="V20" s="6">
        <f t="shared" si="24"/>
        <v>5.5951169888097665</v>
      </c>
      <c r="W20" s="6">
        <v>0</v>
      </c>
      <c r="X20" s="6">
        <v>0</v>
      </c>
      <c r="Y20" s="21" t="s">
        <v>20</v>
      </c>
      <c r="Z20" s="21" t="s">
        <v>20</v>
      </c>
      <c r="AA20" s="21" t="s">
        <v>20</v>
      </c>
      <c r="AB20" s="22" t="s">
        <v>20</v>
      </c>
      <c r="AC20" s="152" t="s">
        <v>24</v>
      </c>
      <c r="AD20" s="23" t="s">
        <v>20</v>
      </c>
      <c r="AE20" s="11">
        <f t="shared" si="8"/>
        <v>0.639</v>
      </c>
      <c r="AF20" s="25">
        <v>0.639</v>
      </c>
      <c r="AG20" s="6">
        <v>0</v>
      </c>
      <c r="AH20" s="6">
        <v>0</v>
      </c>
      <c r="AI20" s="21" t="s">
        <v>20</v>
      </c>
      <c r="AJ20" s="21" t="s">
        <v>20</v>
      </c>
      <c r="AK20" s="21" t="s">
        <v>20</v>
      </c>
      <c r="AL20" s="22" t="s">
        <v>20</v>
      </c>
      <c r="AM20" s="23" t="s">
        <v>20</v>
      </c>
      <c r="AN20" s="62">
        <f t="shared" si="19"/>
        <v>387.27272727272725</v>
      </c>
      <c r="AO20" s="62">
        <f t="shared" si="20"/>
        <v>387.27272727272725</v>
      </c>
      <c r="AP20" s="62"/>
      <c r="AQ20" s="62"/>
      <c r="AR20" s="21" t="s">
        <v>20</v>
      </c>
      <c r="AS20" s="21" t="s">
        <v>20</v>
      </c>
      <c r="AT20" s="21" t="s">
        <v>20</v>
      </c>
      <c r="AU20" s="146" t="s">
        <v>20</v>
      </c>
      <c r="AV20" s="153" t="s">
        <v>24</v>
      </c>
      <c r="AW20" s="23" t="s">
        <v>20</v>
      </c>
      <c r="AX20" s="11">
        <f t="shared" si="9"/>
        <v>4.857</v>
      </c>
      <c r="AY20" s="25">
        <v>4.857</v>
      </c>
      <c r="AZ20" s="6">
        <v>0</v>
      </c>
      <c r="BA20" s="6">
        <v>0</v>
      </c>
      <c r="BB20" s="21" t="s">
        <v>20</v>
      </c>
      <c r="BC20" s="21" t="s">
        <v>20</v>
      </c>
      <c r="BD20" s="21" t="s">
        <v>20</v>
      </c>
      <c r="BE20" s="22" t="s">
        <v>20</v>
      </c>
      <c r="BF20" s="160"/>
      <c r="BG20" s="12">
        <f t="shared" si="10"/>
        <v>760.093896713615</v>
      </c>
      <c r="BH20" s="62">
        <f t="shared" si="22"/>
        <v>760.093896713615</v>
      </c>
      <c r="BI20" s="62"/>
      <c r="BJ20" s="62"/>
      <c r="BK20" s="21" t="s">
        <v>20</v>
      </c>
      <c r="BL20" s="62" t="e">
        <f t="shared" si="11"/>
        <v>#VALUE!</v>
      </c>
      <c r="BM20" s="62" t="e">
        <f t="shared" si="12"/>
        <v>#VALUE!</v>
      </c>
      <c r="BN20" s="161" t="e">
        <f t="shared" si="13"/>
        <v>#VALUE!</v>
      </c>
      <c r="BO20" s="23" t="s">
        <v>20</v>
      </c>
      <c r="BP20" s="11">
        <f t="shared" si="14"/>
        <v>13.171</v>
      </c>
      <c r="BQ20" s="25">
        <v>13.171</v>
      </c>
      <c r="BR20" s="25">
        <v>0</v>
      </c>
      <c r="BS20" s="26">
        <v>0</v>
      </c>
      <c r="BT20" s="21" t="s">
        <v>20</v>
      </c>
      <c r="BU20" s="21" t="s">
        <v>20</v>
      </c>
      <c r="BV20" s="21" t="s">
        <v>20</v>
      </c>
      <c r="BW20" s="146" t="s">
        <v>20</v>
      </c>
      <c r="BX20" s="69"/>
      <c r="BY20" s="11">
        <f t="shared" si="15"/>
        <v>271.1756228124357</v>
      </c>
      <c r="BZ20" s="11">
        <f t="shared" si="16"/>
        <v>271.1756228124357</v>
      </c>
      <c r="CA20" s="11">
        <v>0</v>
      </c>
      <c r="CB20" s="11">
        <v>0</v>
      </c>
      <c r="CC20" s="11"/>
      <c r="CD20" s="21" t="s">
        <v>20</v>
      </c>
      <c r="CE20" s="62" t="e">
        <f t="shared" si="4"/>
        <v>#VALUE!</v>
      </c>
      <c r="CF20" s="161" t="e">
        <f t="shared" si="5"/>
        <v>#VALUE!</v>
      </c>
    </row>
    <row r="21" spans="1:84" ht="22.5" customHeight="1">
      <c r="A21" s="63" t="s">
        <v>28</v>
      </c>
      <c r="B21" s="23" t="s">
        <v>20</v>
      </c>
      <c r="C21" s="71">
        <f t="shared" si="6"/>
        <v>4.526</v>
      </c>
      <c r="D21" s="25">
        <v>4.526</v>
      </c>
      <c r="E21" s="16">
        <v>0</v>
      </c>
      <c r="F21" s="16">
        <v>0</v>
      </c>
      <c r="G21" s="21" t="s">
        <v>20</v>
      </c>
      <c r="H21" s="21" t="s">
        <v>20</v>
      </c>
      <c r="I21" s="21" t="s">
        <v>20</v>
      </c>
      <c r="J21" s="22" t="s">
        <v>20</v>
      </c>
      <c r="K21" s="23" t="s">
        <v>20</v>
      </c>
      <c r="L21" s="14">
        <f t="shared" si="7"/>
        <v>4.239</v>
      </c>
      <c r="M21" s="25">
        <v>4.239</v>
      </c>
      <c r="N21" s="6">
        <v>0</v>
      </c>
      <c r="O21" s="6">
        <v>0</v>
      </c>
      <c r="P21" s="21" t="s">
        <v>20</v>
      </c>
      <c r="Q21" s="21" t="s">
        <v>20</v>
      </c>
      <c r="R21" s="21" t="s">
        <v>20</v>
      </c>
      <c r="S21" s="22" t="s">
        <v>20</v>
      </c>
      <c r="T21" s="23" t="s">
        <v>20</v>
      </c>
      <c r="U21" s="6">
        <f t="shared" si="17"/>
        <v>93.65885992045958</v>
      </c>
      <c r="V21" s="6">
        <f t="shared" si="24"/>
        <v>93.65885992045958</v>
      </c>
      <c r="W21" s="6">
        <v>0</v>
      </c>
      <c r="X21" s="6">
        <v>0</v>
      </c>
      <c r="Y21" s="21" t="s">
        <v>20</v>
      </c>
      <c r="Z21" s="21" t="s">
        <v>20</v>
      </c>
      <c r="AA21" s="21" t="s">
        <v>20</v>
      </c>
      <c r="AB21" s="22" t="s">
        <v>20</v>
      </c>
      <c r="AC21" s="154" t="s">
        <v>28</v>
      </c>
      <c r="AD21" s="23" t="s">
        <v>20</v>
      </c>
      <c r="AE21" s="11">
        <f t="shared" si="8"/>
        <v>4.099</v>
      </c>
      <c r="AF21" s="25">
        <v>4.099</v>
      </c>
      <c r="AG21" s="6">
        <v>0</v>
      </c>
      <c r="AH21" s="6">
        <v>0</v>
      </c>
      <c r="AI21" s="21" t="s">
        <v>20</v>
      </c>
      <c r="AJ21" s="21" t="s">
        <v>20</v>
      </c>
      <c r="AK21" s="21" t="s">
        <v>20</v>
      </c>
      <c r="AL21" s="22" t="s">
        <v>20</v>
      </c>
      <c r="AM21" s="23" t="s">
        <v>20</v>
      </c>
      <c r="AN21" s="62">
        <f t="shared" si="19"/>
        <v>96.69733427695212</v>
      </c>
      <c r="AO21" s="62">
        <f t="shared" si="20"/>
        <v>96.69733427695212</v>
      </c>
      <c r="AP21" s="62"/>
      <c r="AQ21" s="62"/>
      <c r="AR21" s="21" t="s">
        <v>20</v>
      </c>
      <c r="AS21" s="21" t="s">
        <v>20</v>
      </c>
      <c r="AT21" s="21" t="s">
        <v>20</v>
      </c>
      <c r="AU21" s="146" t="s">
        <v>20</v>
      </c>
      <c r="AV21" s="155" t="s">
        <v>28</v>
      </c>
      <c r="AW21" s="23" t="s">
        <v>20</v>
      </c>
      <c r="AX21" s="11">
        <f t="shared" si="9"/>
        <v>3.8</v>
      </c>
      <c r="AY21" s="25">
        <v>3.8</v>
      </c>
      <c r="AZ21" s="6">
        <v>0</v>
      </c>
      <c r="BA21" s="6">
        <v>0</v>
      </c>
      <c r="BB21" s="21" t="s">
        <v>20</v>
      </c>
      <c r="BC21" s="21" t="s">
        <v>20</v>
      </c>
      <c r="BD21" s="21" t="s">
        <v>20</v>
      </c>
      <c r="BE21" s="22" t="s">
        <v>20</v>
      </c>
      <c r="BF21" s="160"/>
      <c r="BG21" s="12">
        <f t="shared" si="10"/>
        <v>92.70553793608197</v>
      </c>
      <c r="BH21" s="62">
        <f t="shared" si="22"/>
        <v>92.70553793608197</v>
      </c>
      <c r="BI21" s="62"/>
      <c r="BJ21" s="62"/>
      <c r="BK21" s="21" t="s">
        <v>20</v>
      </c>
      <c r="BL21" s="62" t="e">
        <f t="shared" si="11"/>
        <v>#VALUE!</v>
      </c>
      <c r="BM21" s="62" t="e">
        <f t="shared" si="12"/>
        <v>#VALUE!</v>
      </c>
      <c r="BN21" s="161" t="e">
        <f t="shared" si="13"/>
        <v>#VALUE!</v>
      </c>
      <c r="BO21" s="23" t="s">
        <v>20</v>
      </c>
      <c r="BP21" s="11">
        <f t="shared" si="14"/>
        <v>3.774</v>
      </c>
      <c r="BQ21" s="25">
        <v>3.774</v>
      </c>
      <c r="BR21" s="25">
        <v>0</v>
      </c>
      <c r="BS21" s="26">
        <v>0</v>
      </c>
      <c r="BT21" s="21" t="s">
        <v>20</v>
      </c>
      <c r="BU21" s="21" t="s">
        <v>20</v>
      </c>
      <c r="BV21" s="21" t="s">
        <v>20</v>
      </c>
      <c r="BW21" s="146" t="s">
        <v>20</v>
      </c>
      <c r="BX21" s="69"/>
      <c r="BY21" s="11">
        <f t="shared" si="15"/>
        <v>99.31578947368422</v>
      </c>
      <c r="BZ21" s="11">
        <f t="shared" si="16"/>
        <v>99.31578947368422</v>
      </c>
      <c r="CA21" s="11">
        <v>0</v>
      </c>
      <c r="CB21" s="11">
        <v>0</v>
      </c>
      <c r="CC21" s="11"/>
      <c r="CD21" s="21" t="s">
        <v>20</v>
      </c>
      <c r="CE21" s="62" t="e">
        <f t="shared" si="4"/>
        <v>#VALUE!</v>
      </c>
      <c r="CF21" s="161" t="e">
        <f t="shared" si="5"/>
        <v>#VALUE!</v>
      </c>
    </row>
    <row r="22" spans="1:84" ht="21.75" customHeight="1">
      <c r="A22" s="56" t="s">
        <v>29</v>
      </c>
      <c r="B22" s="23" t="s">
        <v>20</v>
      </c>
      <c r="C22" s="71">
        <f t="shared" si="6"/>
        <v>21.2</v>
      </c>
      <c r="D22" s="25">
        <v>21.2</v>
      </c>
      <c r="E22" s="16">
        <v>0</v>
      </c>
      <c r="F22" s="16">
        <v>0</v>
      </c>
      <c r="G22" s="21" t="s">
        <v>20</v>
      </c>
      <c r="H22" s="21" t="s">
        <v>20</v>
      </c>
      <c r="I22" s="21" t="s">
        <v>20</v>
      </c>
      <c r="J22" s="22" t="s">
        <v>20</v>
      </c>
      <c r="K22" s="23" t="s">
        <v>20</v>
      </c>
      <c r="L22" s="14">
        <f t="shared" si="7"/>
        <v>12.37</v>
      </c>
      <c r="M22" s="25">
        <v>12.37</v>
      </c>
      <c r="N22" s="6">
        <v>0</v>
      </c>
      <c r="O22" s="6">
        <v>0</v>
      </c>
      <c r="P22" s="21" t="s">
        <v>20</v>
      </c>
      <c r="Q22" s="21" t="s">
        <v>20</v>
      </c>
      <c r="R22" s="21" t="s">
        <v>20</v>
      </c>
      <c r="S22" s="22" t="s">
        <v>20</v>
      </c>
      <c r="T22" s="23" t="s">
        <v>20</v>
      </c>
      <c r="U22" s="6">
        <f t="shared" si="17"/>
        <v>58.34905660377358</v>
      </c>
      <c r="V22" s="6">
        <f t="shared" si="24"/>
        <v>58.34905660377358</v>
      </c>
      <c r="W22" s="6">
        <v>0</v>
      </c>
      <c r="X22" s="6">
        <v>0</v>
      </c>
      <c r="Y22" s="21" t="s">
        <v>20</v>
      </c>
      <c r="Z22" s="21" t="s">
        <v>20</v>
      </c>
      <c r="AA22" s="21" t="s">
        <v>20</v>
      </c>
      <c r="AB22" s="22" t="s">
        <v>20</v>
      </c>
      <c r="AC22" s="150" t="s">
        <v>29</v>
      </c>
      <c r="AD22" s="23" t="s">
        <v>20</v>
      </c>
      <c r="AE22" s="11">
        <f t="shared" si="8"/>
        <v>4.02</v>
      </c>
      <c r="AF22" s="25">
        <v>4.02</v>
      </c>
      <c r="AG22" s="6">
        <v>0</v>
      </c>
      <c r="AH22" s="6">
        <v>0</v>
      </c>
      <c r="AI22" s="21" t="s">
        <v>20</v>
      </c>
      <c r="AJ22" s="21" t="s">
        <v>20</v>
      </c>
      <c r="AK22" s="21" t="s">
        <v>20</v>
      </c>
      <c r="AL22" s="22" t="s">
        <v>20</v>
      </c>
      <c r="AM22" s="23" t="s">
        <v>20</v>
      </c>
      <c r="AN22" s="62">
        <f t="shared" si="19"/>
        <v>32.497978981406625</v>
      </c>
      <c r="AO22" s="62">
        <f t="shared" si="20"/>
        <v>32.497978981406625</v>
      </c>
      <c r="AP22" s="62"/>
      <c r="AQ22" s="62"/>
      <c r="AR22" s="21" t="s">
        <v>20</v>
      </c>
      <c r="AS22" s="21" t="s">
        <v>20</v>
      </c>
      <c r="AT22" s="21" t="s">
        <v>20</v>
      </c>
      <c r="AU22" s="146" t="s">
        <v>20</v>
      </c>
      <c r="AV22" s="151" t="s">
        <v>29</v>
      </c>
      <c r="AW22" s="23" t="s">
        <v>20</v>
      </c>
      <c r="AX22" s="11">
        <f t="shared" si="9"/>
        <v>4.22</v>
      </c>
      <c r="AY22" s="25">
        <v>4.22</v>
      </c>
      <c r="AZ22" s="6">
        <v>0</v>
      </c>
      <c r="BA22" s="6">
        <v>0</v>
      </c>
      <c r="BB22" s="21" t="s">
        <v>20</v>
      </c>
      <c r="BC22" s="21" t="s">
        <v>20</v>
      </c>
      <c r="BD22" s="21" t="s">
        <v>20</v>
      </c>
      <c r="BE22" s="22" t="s">
        <v>20</v>
      </c>
      <c r="BF22" s="160"/>
      <c r="BG22" s="12">
        <f t="shared" si="10"/>
        <v>104.97512437810946</v>
      </c>
      <c r="BH22" s="62">
        <f t="shared" si="22"/>
        <v>104.97512437810946</v>
      </c>
      <c r="BI22" s="62"/>
      <c r="BJ22" s="62"/>
      <c r="BK22" s="21" t="s">
        <v>20</v>
      </c>
      <c r="BL22" s="62" t="e">
        <f t="shared" si="11"/>
        <v>#VALUE!</v>
      </c>
      <c r="BM22" s="62" t="e">
        <f t="shared" si="12"/>
        <v>#VALUE!</v>
      </c>
      <c r="BN22" s="161" t="e">
        <f t="shared" si="13"/>
        <v>#VALUE!</v>
      </c>
      <c r="BO22" s="23" t="s">
        <v>20</v>
      </c>
      <c r="BP22" s="11">
        <f t="shared" si="14"/>
        <v>5.659</v>
      </c>
      <c r="BQ22" s="25">
        <v>5.659</v>
      </c>
      <c r="BR22" s="25">
        <v>0</v>
      </c>
      <c r="BS22" s="26">
        <v>0</v>
      </c>
      <c r="BT22" s="21" t="s">
        <v>20</v>
      </c>
      <c r="BU22" s="21" t="s">
        <v>20</v>
      </c>
      <c r="BV22" s="21" t="s">
        <v>20</v>
      </c>
      <c r="BW22" s="146" t="s">
        <v>20</v>
      </c>
      <c r="BX22" s="69"/>
      <c r="BY22" s="11">
        <f t="shared" si="15"/>
        <v>134.0995260663507</v>
      </c>
      <c r="BZ22" s="11">
        <f t="shared" si="16"/>
        <v>134.0995260663507</v>
      </c>
      <c r="CA22" s="11">
        <v>0</v>
      </c>
      <c r="CB22" s="11">
        <v>0</v>
      </c>
      <c r="CC22" s="11"/>
      <c r="CD22" s="21" t="s">
        <v>20</v>
      </c>
      <c r="CE22" s="62" t="e">
        <f t="shared" si="4"/>
        <v>#VALUE!</v>
      </c>
      <c r="CF22" s="161" t="e">
        <f t="shared" si="5"/>
        <v>#VALUE!</v>
      </c>
    </row>
    <row r="23" spans="1:84" ht="39.75" customHeight="1">
      <c r="A23" s="56" t="s">
        <v>25</v>
      </c>
      <c r="B23" s="23" t="s">
        <v>20</v>
      </c>
      <c r="C23" s="71">
        <f t="shared" si="6"/>
        <v>224.997</v>
      </c>
      <c r="D23" s="25">
        <v>162.997</v>
      </c>
      <c r="E23" s="16">
        <v>62</v>
      </c>
      <c r="F23" s="16">
        <v>0</v>
      </c>
      <c r="G23" s="21" t="s">
        <v>20</v>
      </c>
      <c r="H23" s="21" t="s">
        <v>20</v>
      </c>
      <c r="I23" s="21" t="s">
        <v>20</v>
      </c>
      <c r="J23" s="22" t="s">
        <v>20</v>
      </c>
      <c r="K23" s="23" t="s">
        <v>20</v>
      </c>
      <c r="L23" s="14">
        <f t="shared" si="7"/>
        <v>183.243</v>
      </c>
      <c r="M23" s="25">
        <v>162.243</v>
      </c>
      <c r="N23" s="6">
        <v>21</v>
      </c>
      <c r="O23" s="6">
        <v>0</v>
      </c>
      <c r="P23" s="21" t="s">
        <v>20</v>
      </c>
      <c r="Q23" s="21" t="s">
        <v>20</v>
      </c>
      <c r="R23" s="21" t="s">
        <v>20</v>
      </c>
      <c r="S23" s="22" t="s">
        <v>20</v>
      </c>
      <c r="T23" s="23" t="s">
        <v>20</v>
      </c>
      <c r="U23" s="6">
        <f t="shared" si="17"/>
        <v>81.44241923225643</v>
      </c>
      <c r="V23" s="6">
        <f t="shared" si="24"/>
        <v>99.53741479904537</v>
      </c>
      <c r="W23" s="6">
        <f>N23/E23*100</f>
        <v>33.87096774193548</v>
      </c>
      <c r="X23" s="6">
        <v>0</v>
      </c>
      <c r="Y23" s="21" t="s">
        <v>20</v>
      </c>
      <c r="Z23" s="21" t="s">
        <v>20</v>
      </c>
      <c r="AA23" s="21" t="s">
        <v>20</v>
      </c>
      <c r="AB23" s="22" t="s">
        <v>20</v>
      </c>
      <c r="AC23" s="150" t="s">
        <v>25</v>
      </c>
      <c r="AD23" s="23" t="s">
        <v>20</v>
      </c>
      <c r="AE23" s="11">
        <f t="shared" si="8"/>
        <v>221.687</v>
      </c>
      <c r="AF23" s="25">
        <v>200.387</v>
      </c>
      <c r="AG23" s="26">
        <v>21.3</v>
      </c>
      <c r="AH23" s="6">
        <v>0</v>
      </c>
      <c r="AI23" s="21" t="s">
        <v>20</v>
      </c>
      <c r="AJ23" s="21" t="s">
        <v>20</v>
      </c>
      <c r="AK23" s="21" t="s">
        <v>20</v>
      </c>
      <c r="AL23" s="22" t="s">
        <v>20</v>
      </c>
      <c r="AM23" s="23" t="s">
        <v>20</v>
      </c>
      <c r="AN23" s="62">
        <f t="shared" si="19"/>
        <v>120.97979186108066</v>
      </c>
      <c r="AO23" s="62">
        <f t="shared" si="20"/>
        <v>123.5104133922573</v>
      </c>
      <c r="AP23" s="62">
        <f t="shared" si="21"/>
        <v>101.42857142857142</v>
      </c>
      <c r="AQ23" s="62"/>
      <c r="AR23" s="21" t="s">
        <v>20</v>
      </c>
      <c r="AS23" s="21" t="s">
        <v>20</v>
      </c>
      <c r="AT23" s="21" t="s">
        <v>20</v>
      </c>
      <c r="AU23" s="146" t="s">
        <v>20</v>
      </c>
      <c r="AV23" s="151" t="s">
        <v>25</v>
      </c>
      <c r="AW23" s="23" t="s">
        <v>20</v>
      </c>
      <c r="AX23" s="11">
        <f t="shared" si="9"/>
        <v>228.014</v>
      </c>
      <c r="AY23" s="25">
        <v>171.306</v>
      </c>
      <c r="AZ23" s="5">
        <v>56.708</v>
      </c>
      <c r="BA23" s="6">
        <v>0</v>
      </c>
      <c r="BB23" s="21" t="s">
        <v>20</v>
      </c>
      <c r="BC23" s="21" t="s">
        <v>20</v>
      </c>
      <c r="BD23" s="21" t="s">
        <v>20</v>
      </c>
      <c r="BE23" s="22" t="s">
        <v>20</v>
      </c>
      <c r="BF23" s="160"/>
      <c r="BG23" s="12">
        <f t="shared" si="10"/>
        <v>102.85402391660314</v>
      </c>
      <c r="BH23" s="62">
        <f t="shared" si="22"/>
        <v>85.48758152973996</v>
      </c>
      <c r="BI23" s="62">
        <f t="shared" si="23"/>
        <v>266.2347417840375</v>
      </c>
      <c r="BJ23" s="62"/>
      <c r="BK23" s="21" t="s">
        <v>20</v>
      </c>
      <c r="BL23" s="62" t="e">
        <f t="shared" si="11"/>
        <v>#VALUE!</v>
      </c>
      <c r="BM23" s="62" t="e">
        <f t="shared" si="12"/>
        <v>#VALUE!</v>
      </c>
      <c r="BN23" s="161" t="e">
        <f t="shared" si="13"/>
        <v>#VALUE!</v>
      </c>
      <c r="BO23" s="23" t="s">
        <v>20</v>
      </c>
      <c r="BP23" s="11">
        <f t="shared" si="14"/>
        <v>255.941</v>
      </c>
      <c r="BQ23" s="25">
        <v>205.228</v>
      </c>
      <c r="BR23" s="25">
        <v>50.713</v>
      </c>
      <c r="BS23" s="26">
        <v>0</v>
      </c>
      <c r="BT23" s="21" t="s">
        <v>20</v>
      </c>
      <c r="BU23" s="21" t="s">
        <v>20</v>
      </c>
      <c r="BV23" s="21" t="s">
        <v>20</v>
      </c>
      <c r="BW23" s="146" t="s">
        <v>20</v>
      </c>
      <c r="BX23" s="69"/>
      <c r="BY23" s="11">
        <f t="shared" si="15"/>
        <v>112.24793214451745</v>
      </c>
      <c r="BZ23" s="11">
        <f t="shared" si="16"/>
        <v>119.80199175743991</v>
      </c>
      <c r="CA23" s="11">
        <f t="shared" si="18"/>
        <v>89.42829935811525</v>
      </c>
      <c r="CB23" s="11">
        <v>0</v>
      </c>
      <c r="CC23" s="11"/>
      <c r="CD23" s="21" t="s">
        <v>20</v>
      </c>
      <c r="CE23" s="62" t="e">
        <f t="shared" si="4"/>
        <v>#VALUE!</v>
      </c>
      <c r="CF23" s="161" t="e">
        <f t="shared" si="5"/>
        <v>#VALUE!</v>
      </c>
    </row>
    <row r="24" spans="1:84" ht="19.5" customHeight="1">
      <c r="A24" s="56" t="s">
        <v>15</v>
      </c>
      <c r="B24" s="23" t="s">
        <v>20</v>
      </c>
      <c r="C24" s="71">
        <f t="shared" si="6"/>
        <v>37.928</v>
      </c>
      <c r="D24" s="25">
        <v>37.928</v>
      </c>
      <c r="E24" s="16">
        <v>0</v>
      </c>
      <c r="F24" s="16">
        <v>0</v>
      </c>
      <c r="G24" s="21" t="s">
        <v>20</v>
      </c>
      <c r="H24" s="21" t="s">
        <v>20</v>
      </c>
      <c r="I24" s="21" t="s">
        <v>20</v>
      </c>
      <c r="J24" s="22" t="s">
        <v>20</v>
      </c>
      <c r="K24" s="23" t="s">
        <v>20</v>
      </c>
      <c r="L24" s="14">
        <f t="shared" si="7"/>
        <v>35.305</v>
      </c>
      <c r="M24" s="25">
        <v>35.305</v>
      </c>
      <c r="N24" s="6">
        <v>0</v>
      </c>
      <c r="O24" s="6">
        <v>0</v>
      </c>
      <c r="P24" s="21" t="s">
        <v>20</v>
      </c>
      <c r="Q24" s="21" t="s">
        <v>20</v>
      </c>
      <c r="R24" s="21" t="s">
        <v>20</v>
      </c>
      <c r="S24" s="22" t="s">
        <v>20</v>
      </c>
      <c r="T24" s="23" t="s">
        <v>20</v>
      </c>
      <c r="U24" s="6">
        <f t="shared" si="17"/>
        <v>93.08426492301203</v>
      </c>
      <c r="V24" s="6">
        <f t="shared" si="24"/>
        <v>93.08426492301203</v>
      </c>
      <c r="W24" s="6">
        <v>0</v>
      </c>
      <c r="X24" s="6">
        <v>0</v>
      </c>
      <c r="Y24" s="21" t="s">
        <v>20</v>
      </c>
      <c r="Z24" s="21" t="s">
        <v>20</v>
      </c>
      <c r="AA24" s="21" t="s">
        <v>20</v>
      </c>
      <c r="AB24" s="22" t="s">
        <v>20</v>
      </c>
      <c r="AC24" s="150" t="s">
        <v>15</v>
      </c>
      <c r="AD24" s="23" t="s">
        <v>20</v>
      </c>
      <c r="AE24" s="11">
        <f t="shared" si="8"/>
        <v>26.345</v>
      </c>
      <c r="AF24" s="25">
        <v>26.345</v>
      </c>
      <c r="AG24" s="6">
        <v>0</v>
      </c>
      <c r="AH24" s="6">
        <v>0</v>
      </c>
      <c r="AI24" s="21" t="s">
        <v>20</v>
      </c>
      <c r="AJ24" s="21" t="s">
        <v>20</v>
      </c>
      <c r="AK24" s="21" t="s">
        <v>20</v>
      </c>
      <c r="AL24" s="22" t="s">
        <v>20</v>
      </c>
      <c r="AM24" s="23" t="s">
        <v>20</v>
      </c>
      <c r="AN24" s="62">
        <f aca="true" t="shared" si="25" ref="AN24:AN32">AE24/L24*100</f>
        <v>74.62115847613651</v>
      </c>
      <c r="AO24" s="62">
        <f t="shared" si="20"/>
        <v>74.62115847613651</v>
      </c>
      <c r="AP24" s="62"/>
      <c r="AQ24" s="62"/>
      <c r="AR24" s="21" t="s">
        <v>20</v>
      </c>
      <c r="AS24" s="21" t="s">
        <v>20</v>
      </c>
      <c r="AT24" s="21" t="s">
        <v>20</v>
      </c>
      <c r="AU24" s="146" t="s">
        <v>20</v>
      </c>
      <c r="AV24" s="151" t="s">
        <v>15</v>
      </c>
      <c r="AW24" s="23" t="s">
        <v>20</v>
      </c>
      <c r="AX24" s="11">
        <f t="shared" si="9"/>
        <v>39.284</v>
      </c>
      <c r="AY24" s="25">
        <v>39.284</v>
      </c>
      <c r="AZ24" s="6">
        <v>0</v>
      </c>
      <c r="BA24" s="6">
        <v>0</v>
      </c>
      <c r="BB24" s="21" t="s">
        <v>20</v>
      </c>
      <c r="BC24" s="21" t="s">
        <v>20</v>
      </c>
      <c r="BD24" s="21" t="s">
        <v>20</v>
      </c>
      <c r="BE24" s="22" t="s">
        <v>20</v>
      </c>
      <c r="BF24" s="160"/>
      <c r="BG24" s="12">
        <f t="shared" si="10"/>
        <v>149.11368381096983</v>
      </c>
      <c r="BH24" s="62">
        <f t="shared" si="22"/>
        <v>149.11368381096983</v>
      </c>
      <c r="BI24" s="62"/>
      <c r="BJ24" s="62"/>
      <c r="BK24" s="21" t="s">
        <v>20</v>
      </c>
      <c r="BL24" s="62" t="e">
        <f t="shared" si="11"/>
        <v>#VALUE!</v>
      </c>
      <c r="BM24" s="62" t="e">
        <f t="shared" si="12"/>
        <v>#VALUE!</v>
      </c>
      <c r="BN24" s="161" t="e">
        <f t="shared" si="13"/>
        <v>#VALUE!</v>
      </c>
      <c r="BO24" s="23" t="s">
        <v>20</v>
      </c>
      <c r="BP24" s="11">
        <f t="shared" si="14"/>
        <v>33.914</v>
      </c>
      <c r="BQ24" s="25">
        <v>33.914</v>
      </c>
      <c r="BR24" s="25">
        <v>0</v>
      </c>
      <c r="BS24" s="26">
        <v>0</v>
      </c>
      <c r="BT24" s="21" t="s">
        <v>20</v>
      </c>
      <c r="BU24" s="21" t="s">
        <v>20</v>
      </c>
      <c r="BV24" s="21" t="s">
        <v>20</v>
      </c>
      <c r="BW24" s="146" t="s">
        <v>20</v>
      </c>
      <c r="BX24" s="69"/>
      <c r="BY24" s="11">
        <f t="shared" si="15"/>
        <v>86.33031259545871</v>
      </c>
      <c r="BZ24" s="11">
        <f t="shared" si="16"/>
        <v>86.33031259545871</v>
      </c>
      <c r="CA24" s="11">
        <v>0</v>
      </c>
      <c r="CB24" s="11">
        <v>0</v>
      </c>
      <c r="CC24" s="11"/>
      <c r="CD24" s="21" t="s">
        <v>20</v>
      </c>
      <c r="CE24" s="62" t="e">
        <f t="shared" si="4"/>
        <v>#VALUE!</v>
      </c>
      <c r="CF24" s="161" t="e">
        <f t="shared" si="5"/>
        <v>#VALUE!</v>
      </c>
    </row>
    <row r="25" spans="1:84" ht="41.25" customHeight="1">
      <c r="A25" s="56" t="s">
        <v>26</v>
      </c>
      <c r="B25" s="23" t="s">
        <v>20</v>
      </c>
      <c r="C25" s="71">
        <f t="shared" si="6"/>
        <v>162.53</v>
      </c>
      <c r="D25" s="25">
        <v>147.53</v>
      </c>
      <c r="E25" s="16">
        <v>15</v>
      </c>
      <c r="F25" s="16">
        <v>0</v>
      </c>
      <c r="G25" s="21" t="s">
        <v>20</v>
      </c>
      <c r="H25" s="21" t="s">
        <v>20</v>
      </c>
      <c r="I25" s="21" t="s">
        <v>20</v>
      </c>
      <c r="J25" s="22" t="s">
        <v>20</v>
      </c>
      <c r="K25" s="23" t="s">
        <v>20</v>
      </c>
      <c r="L25" s="14">
        <f t="shared" si="7"/>
        <v>149.473</v>
      </c>
      <c r="M25" s="25">
        <v>122.473</v>
      </c>
      <c r="N25" s="6">
        <v>27</v>
      </c>
      <c r="O25" s="6">
        <v>0</v>
      </c>
      <c r="P25" s="21" t="s">
        <v>20</v>
      </c>
      <c r="Q25" s="21" t="s">
        <v>20</v>
      </c>
      <c r="R25" s="21" t="s">
        <v>20</v>
      </c>
      <c r="S25" s="22" t="s">
        <v>20</v>
      </c>
      <c r="T25" s="23" t="s">
        <v>20</v>
      </c>
      <c r="U25" s="6">
        <f t="shared" si="17"/>
        <v>91.96640620193196</v>
      </c>
      <c r="V25" s="6">
        <f t="shared" si="24"/>
        <v>83.0156578323053</v>
      </c>
      <c r="W25" s="6">
        <f>N25/E25*100</f>
        <v>180</v>
      </c>
      <c r="X25" s="6">
        <v>0</v>
      </c>
      <c r="Y25" s="21" t="s">
        <v>20</v>
      </c>
      <c r="Z25" s="21" t="s">
        <v>20</v>
      </c>
      <c r="AA25" s="21" t="s">
        <v>20</v>
      </c>
      <c r="AB25" s="22" t="s">
        <v>20</v>
      </c>
      <c r="AC25" s="150" t="s">
        <v>26</v>
      </c>
      <c r="AD25" s="23" t="s">
        <v>20</v>
      </c>
      <c r="AE25" s="11">
        <f t="shared" si="8"/>
        <v>121.399</v>
      </c>
      <c r="AF25" s="25">
        <v>93.399</v>
      </c>
      <c r="AG25" s="26">
        <v>28</v>
      </c>
      <c r="AH25" s="6">
        <v>0</v>
      </c>
      <c r="AI25" s="21" t="s">
        <v>20</v>
      </c>
      <c r="AJ25" s="21" t="s">
        <v>20</v>
      </c>
      <c r="AK25" s="21" t="s">
        <v>20</v>
      </c>
      <c r="AL25" s="22" t="s">
        <v>20</v>
      </c>
      <c r="AM25" s="23" t="s">
        <v>20</v>
      </c>
      <c r="AN25" s="62">
        <f t="shared" si="25"/>
        <v>81.21801261766338</v>
      </c>
      <c r="AO25" s="62">
        <f t="shared" si="20"/>
        <v>76.26089015538119</v>
      </c>
      <c r="AP25" s="62">
        <f t="shared" si="21"/>
        <v>103.7037037037037</v>
      </c>
      <c r="AQ25" s="62"/>
      <c r="AR25" s="21" t="s">
        <v>20</v>
      </c>
      <c r="AS25" s="21" t="s">
        <v>20</v>
      </c>
      <c r="AT25" s="21" t="s">
        <v>20</v>
      </c>
      <c r="AU25" s="146" t="s">
        <v>20</v>
      </c>
      <c r="AV25" s="151" t="s">
        <v>26</v>
      </c>
      <c r="AW25" s="23" t="s">
        <v>20</v>
      </c>
      <c r="AX25" s="11">
        <f t="shared" si="9"/>
        <v>290.64099999999996</v>
      </c>
      <c r="AY25" s="25">
        <v>129.105</v>
      </c>
      <c r="AZ25" s="5">
        <v>161.536</v>
      </c>
      <c r="BA25" s="6">
        <v>0</v>
      </c>
      <c r="BB25" s="21" t="s">
        <v>20</v>
      </c>
      <c r="BC25" s="21" t="s">
        <v>20</v>
      </c>
      <c r="BD25" s="21" t="s">
        <v>20</v>
      </c>
      <c r="BE25" s="22" t="s">
        <v>20</v>
      </c>
      <c r="BF25" s="160"/>
      <c r="BG25" s="12">
        <f t="shared" si="10"/>
        <v>239.40971507178804</v>
      </c>
      <c r="BH25" s="62">
        <f t="shared" si="22"/>
        <v>138.22953136543217</v>
      </c>
      <c r="BI25" s="62">
        <f t="shared" si="23"/>
        <v>576.9142857142857</v>
      </c>
      <c r="BJ25" s="62"/>
      <c r="BK25" s="21" t="s">
        <v>20</v>
      </c>
      <c r="BL25" s="62" t="e">
        <f t="shared" si="11"/>
        <v>#VALUE!</v>
      </c>
      <c r="BM25" s="62" t="e">
        <f t="shared" si="12"/>
        <v>#VALUE!</v>
      </c>
      <c r="BN25" s="161" t="e">
        <f t="shared" si="13"/>
        <v>#VALUE!</v>
      </c>
      <c r="BO25" s="23" t="s">
        <v>20</v>
      </c>
      <c r="BP25" s="11">
        <f t="shared" si="14"/>
        <v>169.238</v>
      </c>
      <c r="BQ25" s="25">
        <v>148.854</v>
      </c>
      <c r="BR25" s="25">
        <v>20.384</v>
      </c>
      <c r="BS25" s="26">
        <v>0</v>
      </c>
      <c r="BT25" s="21" t="s">
        <v>20</v>
      </c>
      <c r="BU25" s="21" t="s">
        <v>20</v>
      </c>
      <c r="BV25" s="21" t="s">
        <v>20</v>
      </c>
      <c r="BW25" s="146" t="s">
        <v>20</v>
      </c>
      <c r="BX25" s="69"/>
      <c r="BY25" s="11">
        <f t="shared" si="15"/>
        <v>58.2292243695831</v>
      </c>
      <c r="BZ25" s="11">
        <f t="shared" si="16"/>
        <v>115.29685140002326</v>
      </c>
      <c r="CA25" s="11">
        <f t="shared" si="18"/>
        <v>12.618858954041205</v>
      </c>
      <c r="CB25" s="11">
        <v>0</v>
      </c>
      <c r="CC25" s="11"/>
      <c r="CD25" s="21" t="s">
        <v>20</v>
      </c>
      <c r="CE25" s="62" t="e">
        <f t="shared" si="4"/>
        <v>#VALUE!</v>
      </c>
      <c r="CF25" s="161" t="e">
        <f t="shared" si="5"/>
        <v>#VALUE!</v>
      </c>
    </row>
    <row r="26" spans="1:84" ht="39" customHeight="1">
      <c r="A26" s="56" t="s">
        <v>30</v>
      </c>
      <c r="B26" s="23" t="s">
        <v>20</v>
      </c>
      <c r="C26" s="71">
        <f t="shared" si="6"/>
        <v>0</v>
      </c>
      <c r="D26" s="25">
        <v>0</v>
      </c>
      <c r="E26" s="16">
        <v>0</v>
      </c>
      <c r="F26" s="16">
        <v>0</v>
      </c>
      <c r="G26" s="21" t="s">
        <v>20</v>
      </c>
      <c r="H26" s="21" t="s">
        <v>20</v>
      </c>
      <c r="I26" s="21" t="s">
        <v>20</v>
      </c>
      <c r="J26" s="22" t="s">
        <v>20</v>
      </c>
      <c r="K26" s="23" t="s">
        <v>20</v>
      </c>
      <c r="L26" s="14">
        <f t="shared" si="7"/>
        <v>0.785</v>
      </c>
      <c r="M26" s="25">
        <v>0.785</v>
      </c>
      <c r="N26" s="6">
        <v>0</v>
      </c>
      <c r="O26" s="6">
        <v>0</v>
      </c>
      <c r="P26" s="21" t="s">
        <v>20</v>
      </c>
      <c r="Q26" s="21" t="s">
        <v>20</v>
      </c>
      <c r="R26" s="21" t="s">
        <v>20</v>
      </c>
      <c r="S26" s="22" t="s">
        <v>20</v>
      </c>
      <c r="T26" s="23" t="s">
        <v>20</v>
      </c>
      <c r="U26" s="6">
        <v>0</v>
      </c>
      <c r="V26" s="6">
        <v>0</v>
      </c>
      <c r="W26" s="6">
        <v>0</v>
      </c>
      <c r="X26" s="6">
        <v>0</v>
      </c>
      <c r="Y26" s="21" t="s">
        <v>20</v>
      </c>
      <c r="Z26" s="21" t="s">
        <v>20</v>
      </c>
      <c r="AA26" s="21" t="s">
        <v>20</v>
      </c>
      <c r="AB26" s="22" t="s">
        <v>20</v>
      </c>
      <c r="AC26" s="150" t="s">
        <v>30</v>
      </c>
      <c r="AD26" s="23" t="s">
        <v>20</v>
      </c>
      <c r="AE26" s="11">
        <f t="shared" si="8"/>
        <v>0.351</v>
      </c>
      <c r="AF26" s="25">
        <v>0.351</v>
      </c>
      <c r="AG26" s="6">
        <v>0</v>
      </c>
      <c r="AH26" s="6">
        <v>0</v>
      </c>
      <c r="AI26" s="21" t="s">
        <v>20</v>
      </c>
      <c r="AJ26" s="21" t="s">
        <v>20</v>
      </c>
      <c r="AK26" s="21" t="s">
        <v>20</v>
      </c>
      <c r="AL26" s="22" t="s">
        <v>20</v>
      </c>
      <c r="AM26" s="23" t="s">
        <v>20</v>
      </c>
      <c r="AN26" s="62"/>
      <c r="AO26" s="62"/>
      <c r="AP26" s="62"/>
      <c r="AQ26" s="62"/>
      <c r="AR26" s="21" t="s">
        <v>20</v>
      </c>
      <c r="AS26" s="21" t="s">
        <v>20</v>
      </c>
      <c r="AT26" s="21" t="s">
        <v>20</v>
      </c>
      <c r="AU26" s="146" t="s">
        <v>20</v>
      </c>
      <c r="AV26" s="151" t="s">
        <v>30</v>
      </c>
      <c r="AW26" s="23" t="s">
        <v>20</v>
      </c>
      <c r="AX26" s="11">
        <f t="shared" si="9"/>
        <v>0.604</v>
      </c>
      <c r="AY26" s="25">
        <v>0.604</v>
      </c>
      <c r="AZ26" s="6">
        <v>0</v>
      </c>
      <c r="BA26" s="6">
        <v>0</v>
      </c>
      <c r="BB26" s="21" t="s">
        <v>20</v>
      </c>
      <c r="BC26" s="21" t="s">
        <v>20</v>
      </c>
      <c r="BD26" s="21" t="s">
        <v>20</v>
      </c>
      <c r="BE26" s="22" t="s">
        <v>20</v>
      </c>
      <c r="BF26" s="160"/>
      <c r="BG26" s="12">
        <f t="shared" si="10"/>
        <v>172.07977207977208</v>
      </c>
      <c r="BH26" s="62">
        <f t="shared" si="22"/>
        <v>172.07977207977208</v>
      </c>
      <c r="BI26" s="62"/>
      <c r="BJ26" s="62"/>
      <c r="BK26" s="21" t="s">
        <v>20</v>
      </c>
      <c r="BL26" s="62" t="e">
        <f t="shared" si="11"/>
        <v>#VALUE!</v>
      </c>
      <c r="BM26" s="62" t="e">
        <f t="shared" si="12"/>
        <v>#VALUE!</v>
      </c>
      <c r="BN26" s="161" t="e">
        <f t="shared" si="13"/>
        <v>#VALUE!</v>
      </c>
      <c r="BO26" s="23" t="s">
        <v>20</v>
      </c>
      <c r="BP26" s="11">
        <f t="shared" si="14"/>
        <v>0.484</v>
      </c>
      <c r="BQ26" s="25">
        <v>0.484</v>
      </c>
      <c r="BR26" s="25">
        <v>0</v>
      </c>
      <c r="BS26" s="26">
        <v>0</v>
      </c>
      <c r="BT26" s="21" t="s">
        <v>20</v>
      </c>
      <c r="BU26" s="21" t="s">
        <v>20</v>
      </c>
      <c r="BV26" s="21" t="s">
        <v>20</v>
      </c>
      <c r="BW26" s="146" t="s">
        <v>20</v>
      </c>
      <c r="BX26" s="69"/>
      <c r="BY26" s="11">
        <f t="shared" si="15"/>
        <v>80.13245033112582</v>
      </c>
      <c r="BZ26" s="11">
        <f t="shared" si="16"/>
        <v>80.13245033112582</v>
      </c>
      <c r="CA26" s="11">
        <v>0</v>
      </c>
      <c r="CB26" s="11">
        <v>0</v>
      </c>
      <c r="CC26" s="11"/>
      <c r="CD26" s="21" t="s">
        <v>20</v>
      </c>
      <c r="CE26" s="62" t="e">
        <f t="shared" si="4"/>
        <v>#VALUE!</v>
      </c>
      <c r="CF26" s="161" t="e">
        <f t="shared" si="5"/>
        <v>#VALUE!</v>
      </c>
    </row>
    <row r="27" spans="1:84" ht="11.25" customHeight="1">
      <c r="A27" s="56" t="s">
        <v>5</v>
      </c>
      <c r="B27" s="23" t="s">
        <v>20</v>
      </c>
      <c r="C27" s="71">
        <f t="shared" si="6"/>
        <v>11</v>
      </c>
      <c r="D27" s="25">
        <v>0</v>
      </c>
      <c r="E27" s="16">
        <v>11</v>
      </c>
      <c r="F27" s="16">
        <v>0</v>
      </c>
      <c r="G27" s="21" t="s">
        <v>20</v>
      </c>
      <c r="H27" s="21" t="s">
        <v>20</v>
      </c>
      <c r="I27" s="21" t="s">
        <v>20</v>
      </c>
      <c r="J27" s="22" t="s">
        <v>20</v>
      </c>
      <c r="K27" s="23" t="s">
        <v>20</v>
      </c>
      <c r="L27" s="14">
        <f t="shared" si="7"/>
        <v>12</v>
      </c>
      <c r="M27" s="25">
        <v>0</v>
      </c>
      <c r="N27" s="6">
        <v>12</v>
      </c>
      <c r="O27" s="6">
        <v>0</v>
      </c>
      <c r="P27" s="21" t="s">
        <v>20</v>
      </c>
      <c r="Q27" s="21" t="s">
        <v>20</v>
      </c>
      <c r="R27" s="21" t="s">
        <v>20</v>
      </c>
      <c r="S27" s="22" t="s">
        <v>20</v>
      </c>
      <c r="T27" s="23" t="s">
        <v>20</v>
      </c>
      <c r="U27" s="6">
        <f aca="true" t="shared" si="26" ref="U27:V32">L27/C27*100</f>
        <v>109.09090909090908</v>
      </c>
      <c r="V27" s="6">
        <v>0</v>
      </c>
      <c r="W27" s="6">
        <f>N27/E27*100</f>
        <v>109.09090909090908</v>
      </c>
      <c r="X27" s="6">
        <v>0</v>
      </c>
      <c r="Y27" s="21" t="s">
        <v>20</v>
      </c>
      <c r="Z27" s="21" t="s">
        <v>20</v>
      </c>
      <c r="AA27" s="21" t="s">
        <v>20</v>
      </c>
      <c r="AB27" s="22" t="s">
        <v>20</v>
      </c>
      <c r="AC27" s="150" t="s">
        <v>5</v>
      </c>
      <c r="AD27" s="23" t="s">
        <v>20</v>
      </c>
      <c r="AE27" s="11">
        <f t="shared" si="8"/>
        <v>0</v>
      </c>
      <c r="AF27" s="247">
        <v>0</v>
      </c>
      <c r="AG27" s="6">
        <v>0</v>
      </c>
      <c r="AH27" s="6">
        <v>0</v>
      </c>
      <c r="AI27" s="21" t="s">
        <v>20</v>
      </c>
      <c r="AJ27" s="21" t="s">
        <v>20</v>
      </c>
      <c r="AK27" s="21" t="s">
        <v>20</v>
      </c>
      <c r="AL27" s="22" t="s">
        <v>20</v>
      </c>
      <c r="AM27" s="23" t="s">
        <v>20</v>
      </c>
      <c r="AN27" s="62">
        <f t="shared" si="25"/>
        <v>0</v>
      </c>
      <c r="AO27" s="62"/>
      <c r="AP27" s="62">
        <f>AG27/N27*100</f>
        <v>0</v>
      </c>
      <c r="AQ27" s="62"/>
      <c r="AR27" s="21" t="s">
        <v>20</v>
      </c>
      <c r="AS27" s="21" t="s">
        <v>20</v>
      </c>
      <c r="AT27" s="21" t="s">
        <v>20</v>
      </c>
      <c r="AU27" s="146" t="s">
        <v>20</v>
      </c>
      <c r="AV27" s="151" t="s">
        <v>5</v>
      </c>
      <c r="AW27" s="23" t="s">
        <v>20</v>
      </c>
      <c r="AX27" s="11">
        <f t="shared" si="9"/>
        <v>0</v>
      </c>
      <c r="AY27" s="25">
        <v>0</v>
      </c>
      <c r="AZ27" s="6">
        <v>0</v>
      </c>
      <c r="BA27" s="6">
        <v>0</v>
      </c>
      <c r="BB27" s="21" t="s">
        <v>20</v>
      </c>
      <c r="BC27" s="21" t="s">
        <v>20</v>
      </c>
      <c r="BD27" s="21" t="s">
        <v>20</v>
      </c>
      <c r="BE27" s="22" t="s">
        <v>20</v>
      </c>
      <c r="BF27" s="160"/>
      <c r="BG27" s="12"/>
      <c r="BH27" s="62"/>
      <c r="BI27" s="62"/>
      <c r="BJ27" s="62"/>
      <c r="BK27" s="21" t="s">
        <v>20</v>
      </c>
      <c r="BL27" s="62" t="e">
        <f t="shared" si="11"/>
        <v>#VALUE!</v>
      </c>
      <c r="BM27" s="62" t="e">
        <f t="shared" si="12"/>
        <v>#VALUE!</v>
      </c>
      <c r="BN27" s="161" t="e">
        <f t="shared" si="13"/>
        <v>#VALUE!</v>
      </c>
      <c r="BO27" s="23" t="s">
        <v>20</v>
      </c>
      <c r="BP27" s="11">
        <f t="shared" si="14"/>
        <v>0</v>
      </c>
      <c r="BQ27" s="25">
        <v>0</v>
      </c>
      <c r="BR27" s="25">
        <v>0</v>
      </c>
      <c r="BS27" s="26">
        <v>0</v>
      </c>
      <c r="BT27" s="21" t="s">
        <v>20</v>
      </c>
      <c r="BU27" s="21" t="s">
        <v>20</v>
      </c>
      <c r="BV27" s="21" t="s">
        <v>20</v>
      </c>
      <c r="BW27" s="146" t="s">
        <v>20</v>
      </c>
      <c r="BX27" s="69"/>
      <c r="BY27" s="11">
        <v>0</v>
      </c>
      <c r="BZ27" s="11">
        <v>0</v>
      </c>
      <c r="CA27" s="11">
        <v>0</v>
      </c>
      <c r="CB27" s="11">
        <v>0</v>
      </c>
      <c r="CC27" s="11"/>
      <c r="CD27" s="21" t="s">
        <v>20</v>
      </c>
      <c r="CE27" s="62" t="e">
        <f t="shared" si="4"/>
        <v>#VALUE!</v>
      </c>
      <c r="CF27" s="161" t="e">
        <f t="shared" si="5"/>
        <v>#VALUE!</v>
      </c>
    </row>
    <row r="28" spans="1:84" ht="9.75" customHeight="1">
      <c r="A28" s="56" t="s">
        <v>6</v>
      </c>
      <c r="B28" s="23" t="s">
        <v>20</v>
      </c>
      <c r="C28" s="71">
        <f t="shared" si="6"/>
        <v>228.77</v>
      </c>
      <c r="D28" s="25">
        <v>58.77</v>
      </c>
      <c r="E28" s="16">
        <v>100</v>
      </c>
      <c r="F28" s="16">
        <v>70</v>
      </c>
      <c r="G28" s="21" t="s">
        <v>20</v>
      </c>
      <c r="H28" s="21" t="s">
        <v>20</v>
      </c>
      <c r="I28" s="21" t="s">
        <v>20</v>
      </c>
      <c r="J28" s="22" t="s">
        <v>20</v>
      </c>
      <c r="K28" s="23" t="s">
        <v>20</v>
      </c>
      <c r="L28" s="14">
        <f t="shared" si="7"/>
        <v>178.429</v>
      </c>
      <c r="M28" s="25">
        <v>72.429</v>
      </c>
      <c r="N28" s="6">
        <v>86</v>
      </c>
      <c r="O28" s="6">
        <v>20</v>
      </c>
      <c r="P28" s="21" t="s">
        <v>20</v>
      </c>
      <c r="Q28" s="21" t="s">
        <v>20</v>
      </c>
      <c r="R28" s="21" t="s">
        <v>20</v>
      </c>
      <c r="S28" s="22" t="s">
        <v>20</v>
      </c>
      <c r="T28" s="23" t="s">
        <v>20</v>
      </c>
      <c r="U28" s="6">
        <f t="shared" si="26"/>
        <v>77.99492940507933</v>
      </c>
      <c r="V28" s="6">
        <f t="shared" si="26"/>
        <v>123.24144971924451</v>
      </c>
      <c r="W28" s="6">
        <f>N28/E28*100</f>
        <v>86</v>
      </c>
      <c r="X28" s="6">
        <f>O28/F28*100</f>
        <v>28.57142857142857</v>
      </c>
      <c r="Y28" s="21" t="s">
        <v>20</v>
      </c>
      <c r="Z28" s="21" t="s">
        <v>20</v>
      </c>
      <c r="AA28" s="21" t="s">
        <v>20</v>
      </c>
      <c r="AB28" s="22" t="s">
        <v>20</v>
      </c>
      <c r="AC28" s="150" t="s">
        <v>6</v>
      </c>
      <c r="AD28" s="23" t="s">
        <v>20</v>
      </c>
      <c r="AE28" s="11">
        <f t="shared" si="8"/>
        <v>132.72</v>
      </c>
      <c r="AF28" s="25">
        <v>68.92</v>
      </c>
      <c r="AG28" s="26">
        <v>63.8</v>
      </c>
      <c r="AH28" s="6">
        <v>0</v>
      </c>
      <c r="AI28" s="21" t="s">
        <v>20</v>
      </c>
      <c r="AJ28" s="21" t="s">
        <v>20</v>
      </c>
      <c r="AK28" s="21" t="s">
        <v>20</v>
      </c>
      <c r="AL28" s="22" t="s">
        <v>20</v>
      </c>
      <c r="AM28" s="23" t="s">
        <v>20</v>
      </c>
      <c r="AN28" s="62">
        <f t="shared" si="25"/>
        <v>74.38252750393714</v>
      </c>
      <c r="AO28" s="62">
        <f>AF28/M28*100</f>
        <v>95.15525549158487</v>
      </c>
      <c r="AP28" s="62">
        <f>AG28/N28*100</f>
        <v>74.18604651162791</v>
      </c>
      <c r="AQ28" s="62">
        <f>AH28/O28*100</f>
        <v>0</v>
      </c>
      <c r="AR28" s="21" t="s">
        <v>20</v>
      </c>
      <c r="AS28" s="21" t="s">
        <v>20</v>
      </c>
      <c r="AT28" s="21" t="s">
        <v>20</v>
      </c>
      <c r="AU28" s="146" t="s">
        <v>20</v>
      </c>
      <c r="AV28" s="151" t="s">
        <v>6</v>
      </c>
      <c r="AW28" s="23" t="s">
        <v>20</v>
      </c>
      <c r="AX28" s="11">
        <f t="shared" si="9"/>
        <v>176.967</v>
      </c>
      <c r="AY28" s="25">
        <v>87.674</v>
      </c>
      <c r="AZ28" s="5">
        <v>89.293</v>
      </c>
      <c r="BA28" s="6">
        <v>0</v>
      </c>
      <c r="BB28" s="21" t="s">
        <v>20</v>
      </c>
      <c r="BC28" s="21" t="s">
        <v>20</v>
      </c>
      <c r="BD28" s="21" t="s">
        <v>20</v>
      </c>
      <c r="BE28" s="22" t="s">
        <v>20</v>
      </c>
      <c r="BF28" s="160"/>
      <c r="BG28" s="12">
        <f t="shared" si="10"/>
        <v>133.33860759493672</v>
      </c>
      <c r="BH28" s="62">
        <f>AY28/AF28*100</f>
        <v>127.21125943122462</v>
      </c>
      <c r="BI28" s="62">
        <f>AZ28/AG28*100</f>
        <v>139.9576802507837</v>
      </c>
      <c r="BJ28" s="62"/>
      <c r="BK28" s="21" t="s">
        <v>20</v>
      </c>
      <c r="BL28" s="62" t="e">
        <f t="shared" si="11"/>
        <v>#VALUE!</v>
      </c>
      <c r="BM28" s="62" t="e">
        <f t="shared" si="12"/>
        <v>#VALUE!</v>
      </c>
      <c r="BN28" s="161" t="e">
        <f t="shared" si="13"/>
        <v>#VALUE!</v>
      </c>
      <c r="BO28" s="23" t="s">
        <v>20</v>
      </c>
      <c r="BP28" s="11">
        <f t="shared" si="14"/>
        <v>222.872</v>
      </c>
      <c r="BQ28" s="25">
        <v>104.11</v>
      </c>
      <c r="BR28" s="25">
        <v>118.762</v>
      </c>
      <c r="BS28" s="26">
        <v>0</v>
      </c>
      <c r="BT28" s="21" t="s">
        <v>20</v>
      </c>
      <c r="BU28" s="21" t="s">
        <v>20</v>
      </c>
      <c r="BV28" s="21" t="s">
        <v>20</v>
      </c>
      <c r="BW28" s="146" t="s">
        <v>20</v>
      </c>
      <c r="BX28" s="69"/>
      <c r="BY28" s="11">
        <f t="shared" si="15"/>
        <v>125.93986449451026</v>
      </c>
      <c r="BZ28" s="11">
        <f t="shared" si="16"/>
        <v>118.74672080662454</v>
      </c>
      <c r="CA28" s="11">
        <f t="shared" si="18"/>
        <v>133.0025869889017</v>
      </c>
      <c r="CB28" s="11">
        <v>0</v>
      </c>
      <c r="CC28" s="11"/>
      <c r="CD28" s="21" t="s">
        <v>20</v>
      </c>
      <c r="CE28" s="62" t="e">
        <f t="shared" si="4"/>
        <v>#VALUE!</v>
      </c>
      <c r="CF28" s="161" t="e">
        <f t="shared" si="5"/>
        <v>#VALUE!</v>
      </c>
    </row>
    <row r="29" spans="1:84" ht="21.75" customHeight="1">
      <c r="A29" s="56" t="s">
        <v>16</v>
      </c>
      <c r="B29" s="23" t="s">
        <v>20</v>
      </c>
      <c r="C29" s="14">
        <f t="shared" si="6"/>
        <v>0.461</v>
      </c>
      <c r="D29" s="25">
        <v>0.461</v>
      </c>
      <c r="E29" s="16">
        <v>0</v>
      </c>
      <c r="F29" s="16">
        <v>0</v>
      </c>
      <c r="G29" s="21" t="s">
        <v>20</v>
      </c>
      <c r="H29" s="21" t="s">
        <v>20</v>
      </c>
      <c r="I29" s="21" t="s">
        <v>20</v>
      </c>
      <c r="J29" s="22" t="s">
        <v>20</v>
      </c>
      <c r="K29" s="23" t="s">
        <v>20</v>
      </c>
      <c r="L29" s="14">
        <f t="shared" si="7"/>
        <v>0.29</v>
      </c>
      <c r="M29" s="25">
        <v>0.29</v>
      </c>
      <c r="N29" s="6">
        <v>0</v>
      </c>
      <c r="O29" s="6">
        <v>0</v>
      </c>
      <c r="P29" s="21" t="s">
        <v>20</v>
      </c>
      <c r="Q29" s="21" t="s">
        <v>20</v>
      </c>
      <c r="R29" s="21" t="s">
        <v>20</v>
      </c>
      <c r="S29" s="22" t="s">
        <v>20</v>
      </c>
      <c r="T29" s="23" t="s">
        <v>20</v>
      </c>
      <c r="U29" s="6">
        <f t="shared" si="26"/>
        <v>62.90672451193058</v>
      </c>
      <c r="V29" s="6">
        <f t="shared" si="26"/>
        <v>62.90672451193058</v>
      </c>
      <c r="W29" s="6">
        <v>0</v>
      </c>
      <c r="X29" s="6">
        <v>0</v>
      </c>
      <c r="Y29" s="21" t="s">
        <v>20</v>
      </c>
      <c r="Z29" s="21" t="s">
        <v>20</v>
      </c>
      <c r="AA29" s="21" t="s">
        <v>20</v>
      </c>
      <c r="AB29" s="22" t="s">
        <v>20</v>
      </c>
      <c r="AC29" s="150" t="s">
        <v>16</v>
      </c>
      <c r="AD29" s="23" t="s">
        <v>20</v>
      </c>
      <c r="AE29" s="11">
        <f t="shared" si="8"/>
        <v>1.4</v>
      </c>
      <c r="AF29" s="25">
        <v>1.4</v>
      </c>
      <c r="AG29" s="6">
        <v>0</v>
      </c>
      <c r="AH29" s="6">
        <v>0</v>
      </c>
      <c r="AI29" s="21" t="s">
        <v>20</v>
      </c>
      <c r="AJ29" s="21" t="s">
        <v>20</v>
      </c>
      <c r="AK29" s="21" t="s">
        <v>20</v>
      </c>
      <c r="AL29" s="22" t="s">
        <v>20</v>
      </c>
      <c r="AM29" s="23" t="s">
        <v>20</v>
      </c>
      <c r="AN29" s="62">
        <f t="shared" si="25"/>
        <v>482.7586206896552</v>
      </c>
      <c r="AO29" s="62">
        <f>AF29/M29*100</f>
        <v>482.7586206896552</v>
      </c>
      <c r="AP29" s="62"/>
      <c r="AQ29" s="62"/>
      <c r="AR29" s="21" t="s">
        <v>20</v>
      </c>
      <c r="AS29" s="21" t="s">
        <v>20</v>
      </c>
      <c r="AT29" s="21" t="s">
        <v>20</v>
      </c>
      <c r="AU29" s="146" t="s">
        <v>20</v>
      </c>
      <c r="AV29" s="151" t="s">
        <v>16</v>
      </c>
      <c r="AW29" s="23" t="s">
        <v>20</v>
      </c>
      <c r="AX29" s="11">
        <f t="shared" si="9"/>
        <v>1.232</v>
      </c>
      <c r="AY29" s="25">
        <v>1.232</v>
      </c>
      <c r="AZ29" s="6">
        <v>0</v>
      </c>
      <c r="BA29" s="6">
        <v>0</v>
      </c>
      <c r="BB29" s="21" t="s">
        <v>20</v>
      </c>
      <c r="BC29" s="21" t="s">
        <v>20</v>
      </c>
      <c r="BD29" s="21" t="s">
        <v>20</v>
      </c>
      <c r="BE29" s="22" t="s">
        <v>20</v>
      </c>
      <c r="BF29" s="160"/>
      <c r="BG29" s="12">
        <f t="shared" si="10"/>
        <v>88</v>
      </c>
      <c r="BH29" s="62">
        <f>AY29/AF29*100</f>
        <v>88</v>
      </c>
      <c r="BI29" s="62"/>
      <c r="BJ29" s="62"/>
      <c r="BK29" s="21" t="s">
        <v>20</v>
      </c>
      <c r="BL29" s="62" t="e">
        <f t="shared" si="11"/>
        <v>#VALUE!</v>
      </c>
      <c r="BM29" s="62" t="e">
        <f t="shared" si="12"/>
        <v>#VALUE!</v>
      </c>
      <c r="BN29" s="161" t="e">
        <f t="shared" si="13"/>
        <v>#VALUE!</v>
      </c>
      <c r="BO29" s="23" t="s">
        <v>20</v>
      </c>
      <c r="BP29" s="11">
        <f t="shared" si="14"/>
        <v>1.092</v>
      </c>
      <c r="BQ29" s="25">
        <v>1.092</v>
      </c>
      <c r="BR29" s="25">
        <v>0</v>
      </c>
      <c r="BS29" s="26">
        <v>0</v>
      </c>
      <c r="BT29" s="21" t="s">
        <v>20</v>
      </c>
      <c r="BU29" s="21" t="s">
        <v>20</v>
      </c>
      <c r="BV29" s="21" t="s">
        <v>20</v>
      </c>
      <c r="BW29" s="146" t="s">
        <v>20</v>
      </c>
      <c r="BX29" s="69"/>
      <c r="BY29" s="11">
        <f t="shared" si="15"/>
        <v>88.63636363636364</v>
      </c>
      <c r="BZ29" s="11">
        <f t="shared" si="16"/>
        <v>88.63636363636364</v>
      </c>
      <c r="CA29" s="11">
        <v>0</v>
      </c>
      <c r="CB29" s="11">
        <v>0</v>
      </c>
      <c r="CC29" s="11"/>
      <c r="CD29" s="21" t="s">
        <v>20</v>
      </c>
      <c r="CE29" s="62" t="e">
        <f t="shared" si="4"/>
        <v>#VALUE!</v>
      </c>
      <c r="CF29" s="161" t="e">
        <f t="shared" si="5"/>
        <v>#VALUE!</v>
      </c>
    </row>
    <row r="30" spans="1:84" ht="42" customHeight="1">
      <c r="A30" s="299" t="s">
        <v>31</v>
      </c>
      <c r="B30" s="23" t="s">
        <v>20</v>
      </c>
      <c r="C30" s="71">
        <f t="shared" si="6"/>
        <v>0</v>
      </c>
      <c r="D30" s="25">
        <v>0</v>
      </c>
      <c r="E30" s="16">
        <v>0</v>
      </c>
      <c r="F30" s="16">
        <v>0</v>
      </c>
      <c r="G30" s="21" t="s">
        <v>20</v>
      </c>
      <c r="H30" s="21" t="s">
        <v>20</v>
      </c>
      <c r="I30" s="21" t="s">
        <v>20</v>
      </c>
      <c r="J30" s="22" t="s">
        <v>20</v>
      </c>
      <c r="K30" s="23" t="s">
        <v>20</v>
      </c>
      <c r="L30" s="14">
        <f t="shared" si="7"/>
        <v>0</v>
      </c>
      <c r="M30" s="25">
        <v>0</v>
      </c>
      <c r="N30" s="6">
        <v>0</v>
      </c>
      <c r="O30" s="6">
        <v>0</v>
      </c>
      <c r="P30" s="21" t="s">
        <v>20</v>
      </c>
      <c r="Q30" s="21" t="s">
        <v>20</v>
      </c>
      <c r="R30" s="21" t="s">
        <v>20</v>
      </c>
      <c r="S30" s="22" t="s">
        <v>20</v>
      </c>
      <c r="T30" s="23" t="s">
        <v>20</v>
      </c>
      <c r="U30" s="6">
        <v>0</v>
      </c>
      <c r="V30" s="6">
        <v>0</v>
      </c>
      <c r="W30" s="6">
        <v>0</v>
      </c>
      <c r="X30" s="6">
        <v>0</v>
      </c>
      <c r="Y30" s="21" t="s">
        <v>20</v>
      </c>
      <c r="Z30" s="21" t="s">
        <v>20</v>
      </c>
      <c r="AA30" s="21" t="s">
        <v>20</v>
      </c>
      <c r="AB30" s="22" t="s">
        <v>20</v>
      </c>
      <c r="AC30" s="156" t="s">
        <v>31</v>
      </c>
      <c r="AD30" s="23" t="s">
        <v>20</v>
      </c>
      <c r="AE30" s="11">
        <f t="shared" si="8"/>
        <v>0</v>
      </c>
      <c r="AF30" s="25">
        <v>0</v>
      </c>
      <c r="AG30" s="6">
        <v>0</v>
      </c>
      <c r="AH30" s="6">
        <v>0</v>
      </c>
      <c r="AI30" s="21" t="s">
        <v>20</v>
      </c>
      <c r="AJ30" s="21" t="s">
        <v>20</v>
      </c>
      <c r="AK30" s="21" t="s">
        <v>20</v>
      </c>
      <c r="AL30" s="22" t="s">
        <v>20</v>
      </c>
      <c r="AM30" s="23" t="s">
        <v>20</v>
      </c>
      <c r="AN30" s="62"/>
      <c r="AO30" s="62"/>
      <c r="AP30" s="62"/>
      <c r="AQ30" s="62"/>
      <c r="AR30" s="21" t="s">
        <v>20</v>
      </c>
      <c r="AS30" s="21" t="s">
        <v>20</v>
      </c>
      <c r="AT30" s="21" t="s">
        <v>20</v>
      </c>
      <c r="AU30" s="146" t="s">
        <v>20</v>
      </c>
      <c r="AV30" s="157" t="s">
        <v>31</v>
      </c>
      <c r="AW30" s="23" t="s">
        <v>20</v>
      </c>
      <c r="AX30" s="11">
        <f t="shared" si="9"/>
        <v>0</v>
      </c>
      <c r="AY30" s="25">
        <v>0</v>
      </c>
      <c r="AZ30" s="6">
        <v>0</v>
      </c>
      <c r="BA30" s="6">
        <v>0</v>
      </c>
      <c r="BB30" s="21" t="s">
        <v>20</v>
      </c>
      <c r="BC30" s="21" t="s">
        <v>20</v>
      </c>
      <c r="BD30" s="21" t="s">
        <v>20</v>
      </c>
      <c r="BE30" s="22" t="s">
        <v>20</v>
      </c>
      <c r="BF30" s="160"/>
      <c r="BG30" s="12"/>
      <c r="BH30" s="62"/>
      <c r="BI30" s="62"/>
      <c r="BJ30" s="62"/>
      <c r="BK30" s="21" t="s">
        <v>20</v>
      </c>
      <c r="BL30" s="62" t="e">
        <f t="shared" si="11"/>
        <v>#VALUE!</v>
      </c>
      <c r="BM30" s="62" t="e">
        <f t="shared" si="12"/>
        <v>#VALUE!</v>
      </c>
      <c r="BN30" s="161" t="e">
        <f t="shared" si="13"/>
        <v>#VALUE!</v>
      </c>
      <c r="BO30" s="23" t="s">
        <v>20</v>
      </c>
      <c r="BP30" s="11">
        <f t="shared" si="14"/>
        <v>0</v>
      </c>
      <c r="BQ30" s="25">
        <v>0</v>
      </c>
      <c r="BR30" s="25">
        <v>0</v>
      </c>
      <c r="BS30" s="26">
        <v>0</v>
      </c>
      <c r="BT30" s="21" t="s">
        <v>20</v>
      </c>
      <c r="BU30" s="21" t="s">
        <v>20</v>
      </c>
      <c r="BV30" s="21" t="s">
        <v>20</v>
      </c>
      <c r="BW30" s="146" t="s">
        <v>20</v>
      </c>
      <c r="BX30" s="69"/>
      <c r="BY30" s="11">
        <v>0</v>
      </c>
      <c r="BZ30" s="11">
        <v>0</v>
      </c>
      <c r="CA30" s="11">
        <v>0</v>
      </c>
      <c r="CB30" s="11">
        <v>0</v>
      </c>
      <c r="CC30" s="11"/>
      <c r="CD30" s="21" t="s">
        <v>20</v>
      </c>
      <c r="CE30" s="62" t="e">
        <f t="shared" si="4"/>
        <v>#VALUE!</v>
      </c>
      <c r="CF30" s="161" t="e">
        <f t="shared" si="5"/>
        <v>#VALUE!</v>
      </c>
    </row>
    <row r="31" spans="1:84" ht="21" customHeight="1">
      <c r="A31" s="31" t="s">
        <v>32</v>
      </c>
      <c r="B31" s="23" t="s">
        <v>20</v>
      </c>
      <c r="C31" s="71">
        <f t="shared" si="6"/>
        <v>12.549</v>
      </c>
      <c r="D31" s="25">
        <v>12.549</v>
      </c>
      <c r="E31" s="16">
        <v>0</v>
      </c>
      <c r="F31" s="16">
        <v>0</v>
      </c>
      <c r="G31" s="21" t="s">
        <v>20</v>
      </c>
      <c r="H31" s="21" t="s">
        <v>20</v>
      </c>
      <c r="I31" s="21" t="s">
        <v>20</v>
      </c>
      <c r="J31" s="22" t="s">
        <v>20</v>
      </c>
      <c r="K31" s="23" t="s">
        <v>20</v>
      </c>
      <c r="L31" s="14">
        <f t="shared" si="7"/>
        <v>12.986</v>
      </c>
      <c r="M31" s="25">
        <v>12.986</v>
      </c>
      <c r="N31" s="6">
        <v>0</v>
      </c>
      <c r="O31" s="6">
        <v>0</v>
      </c>
      <c r="P31" s="21" t="s">
        <v>20</v>
      </c>
      <c r="Q31" s="21" t="s">
        <v>20</v>
      </c>
      <c r="R31" s="21" t="s">
        <v>20</v>
      </c>
      <c r="S31" s="22" t="s">
        <v>20</v>
      </c>
      <c r="T31" s="23" t="s">
        <v>20</v>
      </c>
      <c r="U31" s="6">
        <f t="shared" si="26"/>
        <v>103.48234919117063</v>
      </c>
      <c r="V31" s="6">
        <f t="shared" si="26"/>
        <v>103.48234919117063</v>
      </c>
      <c r="W31" s="6">
        <v>0</v>
      </c>
      <c r="X31" s="6">
        <v>0</v>
      </c>
      <c r="Y31" s="21" t="s">
        <v>20</v>
      </c>
      <c r="Z31" s="21" t="s">
        <v>20</v>
      </c>
      <c r="AA31" s="21" t="s">
        <v>20</v>
      </c>
      <c r="AB31" s="22" t="s">
        <v>20</v>
      </c>
      <c r="AC31" s="152" t="s">
        <v>32</v>
      </c>
      <c r="AD31" s="23" t="s">
        <v>20</v>
      </c>
      <c r="AE31" s="11">
        <f t="shared" si="8"/>
        <v>16.039</v>
      </c>
      <c r="AF31" s="25">
        <v>16.039</v>
      </c>
      <c r="AG31" s="6">
        <v>0</v>
      </c>
      <c r="AH31" s="6">
        <v>0</v>
      </c>
      <c r="AI31" s="21" t="s">
        <v>20</v>
      </c>
      <c r="AJ31" s="21" t="s">
        <v>20</v>
      </c>
      <c r="AK31" s="21" t="s">
        <v>20</v>
      </c>
      <c r="AL31" s="22" t="s">
        <v>20</v>
      </c>
      <c r="AM31" s="23" t="s">
        <v>20</v>
      </c>
      <c r="AN31" s="62">
        <f t="shared" si="25"/>
        <v>123.50993377483444</v>
      </c>
      <c r="AO31" s="62">
        <f>AF31/M31*100</f>
        <v>123.50993377483444</v>
      </c>
      <c r="AP31" s="62"/>
      <c r="AQ31" s="62"/>
      <c r="AR31" s="21" t="s">
        <v>20</v>
      </c>
      <c r="AS31" s="21" t="s">
        <v>20</v>
      </c>
      <c r="AT31" s="21" t="s">
        <v>20</v>
      </c>
      <c r="AU31" s="146" t="s">
        <v>20</v>
      </c>
      <c r="AV31" s="153" t="s">
        <v>32</v>
      </c>
      <c r="AW31" s="23" t="s">
        <v>20</v>
      </c>
      <c r="AX31" s="11">
        <f t="shared" si="9"/>
        <v>10.658</v>
      </c>
      <c r="AY31" s="25">
        <v>10.658</v>
      </c>
      <c r="AZ31" s="6">
        <v>0</v>
      </c>
      <c r="BA31" s="6">
        <v>0</v>
      </c>
      <c r="BB31" s="21" t="s">
        <v>20</v>
      </c>
      <c r="BC31" s="21" t="s">
        <v>20</v>
      </c>
      <c r="BD31" s="21" t="s">
        <v>20</v>
      </c>
      <c r="BE31" s="22" t="s">
        <v>20</v>
      </c>
      <c r="BF31" s="160"/>
      <c r="BG31" s="12">
        <f t="shared" si="10"/>
        <v>66.45052684082548</v>
      </c>
      <c r="BH31" s="62">
        <f>AY31/AF31*100</f>
        <v>66.45052684082548</v>
      </c>
      <c r="BI31" s="62"/>
      <c r="BJ31" s="62"/>
      <c r="BK31" s="21" t="s">
        <v>20</v>
      </c>
      <c r="BL31" s="62" t="e">
        <f t="shared" si="11"/>
        <v>#VALUE!</v>
      </c>
      <c r="BM31" s="62" t="e">
        <f t="shared" si="12"/>
        <v>#VALUE!</v>
      </c>
      <c r="BN31" s="161" t="e">
        <f t="shared" si="13"/>
        <v>#VALUE!</v>
      </c>
      <c r="BO31" s="23" t="s">
        <v>20</v>
      </c>
      <c r="BP31" s="11">
        <f t="shared" si="14"/>
        <v>9.236</v>
      </c>
      <c r="BQ31" s="25">
        <v>9.236</v>
      </c>
      <c r="BR31" s="25">
        <v>0</v>
      </c>
      <c r="BS31" s="26">
        <v>0</v>
      </c>
      <c r="BT31" s="21" t="s">
        <v>20</v>
      </c>
      <c r="BU31" s="21" t="s">
        <v>20</v>
      </c>
      <c r="BV31" s="21" t="s">
        <v>20</v>
      </c>
      <c r="BW31" s="146" t="s">
        <v>20</v>
      </c>
      <c r="BX31" s="69"/>
      <c r="BY31" s="11">
        <f t="shared" si="15"/>
        <v>86.65790955151061</v>
      </c>
      <c r="BZ31" s="11">
        <f t="shared" si="16"/>
        <v>86.65790955151061</v>
      </c>
      <c r="CA31" s="11">
        <v>0</v>
      </c>
      <c r="CB31" s="11">
        <v>0</v>
      </c>
      <c r="CC31" s="11"/>
      <c r="CD31" s="21" t="s">
        <v>20</v>
      </c>
      <c r="CE31" s="62" t="e">
        <f t="shared" si="4"/>
        <v>#VALUE!</v>
      </c>
      <c r="CF31" s="161" t="e">
        <f t="shared" si="5"/>
        <v>#VALUE!</v>
      </c>
    </row>
    <row r="32" spans="1:84" ht="22.5" customHeight="1" thickBot="1">
      <c r="A32" s="15" t="s">
        <v>33</v>
      </c>
      <c r="B32" s="40" t="s">
        <v>20</v>
      </c>
      <c r="C32" s="283">
        <f t="shared" si="6"/>
        <v>3.2</v>
      </c>
      <c r="D32" s="42">
        <v>3.2</v>
      </c>
      <c r="E32" s="32">
        <v>0</v>
      </c>
      <c r="F32" s="32">
        <v>0</v>
      </c>
      <c r="G32" s="38" t="s">
        <v>20</v>
      </c>
      <c r="H32" s="38" t="s">
        <v>20</v>
      </c>
      <c r="I32" s="38" t="s">
        <v>20</v>
      </c>
      <c r="J32" s="39" t="s">
        <v>20</v>
      </c>
      <c r="K32" s="40" t="s">
        <v>20</v>
      </c>
      <c r="L32" s="87">
        <f t="shared" si="7"/>
        <v>3.7</v>
      </c>
      <c r="M32" s="42">
        <v>3.7</v>
      </c>
      <c r="N32" s="34">
        <v>0</v>
      </c>
      <c r="O32" s="34">
        <v>0</v>
      </c>
      <c r="P32" s="38" t="s">
        <v>20</v>
      </c>
      <c r="Q32" s="38" t="s">
        <v>20</v>
      </c>
      <c r="R32" s="38" t="s">
        <v>20</v>
      </c>
      <c r="S32" s="39" t="s">
        <v>20</v>
      </c>
      <c r="T32" s="40" t="s">
        <v>20</v>
      </c>
      <c r="U32" s="34">
        <f t="shared" si="26"/>
        <v>115.625</v>
      </c>
      <c r="V32" s="34">
        <f t="shared" si="26"/>
        <v>115.625</v>
      </c>
      <c r="W32" s="34">
        <v>0</v>
      </c>
      <c r="X32" s="34">
        <v>0</v>
      </c>
      <c r="Y32" s="38" t="s">
        <v>20</v>
      </c>
      <c r="Z32" s="38" t="s">
        <v>20</v>
      </c>
      <c r="AA32" s="38" t="s">
        <v>20</v>
      </c>
      <c r="AB32" s="39" t="s">
        <v>20</v>
      </c>
      <c r="AC32" s="150" t="s">
        <v>33</v>
      </c>
      <c r="AD32" s="40" t="s">
        <v>20</v>
      </c>
      <c r="AE32" s="86">
        <f t="shared" si="8"/>
        <v>3.5</v>
      </c>
      <c r="AF32" s="42">
        <v>3.5</v>
      </c>
      <c r="AG32" s="34">
        <v>0</v>
      </c>
      <c r="AH32" s="34">
        <v>0</v>
      </c>
      <c r="AI32" s="38" t="s">
        <v>20</v>
      </c>
      <c r="AJ32" s="38" t="s">
        <v>20</v>
      </c>
      <c r="AK32" s="38" t="s">
        <v>20</v>
      </c>
      <c r="AL32" s="39" t="s">
        <v>20</v>
      </c>
      <c r="AM32" s="40" t="s">
        <v>20</v>
      </c>
      <c r="AN32" s="62">
        <f t="shared" si="25"/>
        <v>94.5945945945946</v>
      </c>
      <c r="AO32" s="62">
        <f>AF32/M32*100</f>
        <v>94.5945945945946</v>
      </c>
      <c r="AP32" s="62"/>
      <c r="AQ32" s="62"/>
      <c r="AR32" s="38" t="s">
        <v>20</v>
      </c>
      <c r="AS32" s="38" t="s">
        <v>20</v>
      </c>
      <c r="AT32" s="38" t="s">
        <v>20</v>
      </c>
      <c r="AU32" s="147" t="s">
        <v>20</v>
      </c>
      <c r="AV32" s="158" t="s">
        <v>33</v>
      </c>
      <c r="AW32" s="40" t="s">
        <v>20</v>
      </c>
      <c r="AX32" s="86">
        <f t="shared" si="9"/>
        <v>1.6</v>
      </c>
      <c r="AY32" s="42">
        <v>1.6</v>
      </c>
      <c r="AZ32" s="34">
        <v>0</v>
      </c>
      <c r="BA32" s="34">
        <v>0</v>
      </c>
      <c r="BB32" s="38" t="s">
        <v>20</v>
      </c>
      <c r="BC32" s="38" t="s">
        <v>20</v>
      </c>
      <c r="BD32" s="38" t="s">
        <v>20</v>
      </c>
      <c r="BE32" s="39" t="s">
        <v>20</v>
      </c>
      <c r="BF32" s="162"/>
      <c r="BG32" s="163">
        <f t="shared" si="10"/>
        <v>45.714285714285715</v>
      </c>
      <c r="BH32" s="164">
        <f>AY32/AF32*100</f>
        <v>45.714285714285715</v>
      </c>
      <c r="BI32" s="164"/>
      <c r="BJ32" s="164"/>
      <c r="BK32" s="38" t="s">
        <v>20</v>
      </c>
      <c r="BL32" s="164" t="e">
        <f t="shared" si="11"/>
        <v>#VALUE!</v>
      </c>
      <c r="BM32" s="164" t="e">
        <f t="shared" si="12"/>
        <v>#VALUE!</v>
      </c>
      <c r="BN32" s="165" t="e">
        <f t="shared" si="13"/>
        <v>#VALUE!</v>
      </c>
      <c r="BO32" s="40" t="s">
        <v>20</v>
      </c>
      <c r="BP32" s="86">
        <f t="shared" si="14"/>
        <v>1.03</v>
      </c>
      <c r="BQ32" s="42">
        <v>1.03</v>
      </c>
      <c r="BR32" s="42">
        <v>0</v>
      </c>
      <c r="BS32" s="43">
        <v>0</v>
      </c>
      <c r="BT32" s="38" t="s">
        <v>20</v>
      </c>
      <c r="BU32" s="38" t="s">
        <v>20</v>
      </c>
      <c r="BV32" s="38" t="s">
        <v>20</v>
      </c>
      <c r="BW32" s="147" t="s">
        <v>20</v>
      </c>
      <c r="BX32" s="69"/>
      <c r="BY32" s="11">
        <f t="shared" si="15"/>
        <v>64.375</v>
      </c>
      <c r="BZ32" s="11">
        <f t="shared" si="16"/>
        <v>64.375</v>
      </c>
      <c r="CA32" s="11">
        <v>0</v>
      </c>
      <c r="CB32" s="11">
        <v>0</v>
      </c>
      <c r="CC32" s="11"/>
      <c r="CD32" s="38" t="s">
        <v>20</v>
      </c>
      <c r="CE32" s="164" t="e">
        <f t="shared" si="4"/>
        <v>#VALUE!</v>
      </c>
      <c r="CF32" s="165" t="e">
        <f t="shared" si="5"/>
        <v>#VALUE!</v>
      </c>
    </row>
    <row r="33" spans="1:12" ht="9.75">
      <c r="A33" s="48" t="s">
        <v>34</v>
      </c>
      <c r="B33" s="45"/>
      <c r="C33" s="45"/>
      <c r="D33" s="45"/>
      <c r="E33" s="45"/>
      <c r="F33" s="45"/>
      <c r="G33" s="45"/>
      <c r="L33" s="8"/>
    </row>
    <row r="34" spans="2:12" ht="9.75">
      <c r="B34" s="45"/>
      <c r="C34" s="45"/>
      <c r="D34" s="45"/>
      <c r="E34" s="45"/>
      <c r="F34" s="45"/>
      <c r="G34" s="45"/>
      <c r="L34" s="8"/>
    </row>
    <row r="35" spans="2:12" ht="9.75">
      <c r="B35" s="45"/>
      <c r="C35" s="45"/>
      <c r="D35" s="45"/>
      <c r="E35" s="45"/>
      <c r="F35" s="45"/>
      <c r="G35" s="45"/>
      <c r="L35" s="8"/>
    </row>
    <row r="36" spans="2:12" ht="9.75">
      <c r="B36" s="45"/>
      <c r="C36" s="45"/>
      <c r="D36" s="45"/>
      <c r="E36" s="45"/>
      <c r="F36" s="45"/>
      <c r="G36" s="45"/>
      <c r="L36" s="8"/>
    </row>
    <row r="37" spans="2:12" ht="9.75">
      <c r="B37" s="45"/>
      <c r="C37" s="45"/>
      <c r="D37" s="45"/>
      <c r="E37" s="45"/>
      <c r="F37" s="45"/>
      <c r="G37" s="45"/>
      <c r="L37" s="8"/>
    </row>
    <row r="38" spans="2:12" ht="9.75">
      <c r="B38" s="45"/>
      <c r="C38" s="45"/>
      <c r="D38" s="45"/>
      <c r="E38" s="45"/>
      <c r="F38" s="45"/>
      <c r="G38" s="45"/>
      <c r="L38" s="8"/>
    </row>
    <row r="39" spans="2:12" ht="9.75">
      <c r="B39" s="45"/>
      <c r="C39" s="45"/>
      <c r="D39" s="45"/>
      <c r="E39" s="45"/>
      <c r="F39" s="45"/>
      <c r="G39" s="45"/>
      <c r="L39" s="8"/>
    </row>
    <row r="40" ht="9.75">
      <c r="L40" s="8"/>
    </row>
    <row r="41" ht="9.75">
      <c r="L41" s="8"/>
    </row>
    <row r="42" ht="9.75">
      <c r="L42" s="8"/>
    </row>
    <row r="43" ht="9.75">
      <c r="L43" s="8"/>
    </row>
    <row r="44" ht="9.75">
      <c r="L44" s="8"/>
    </row>
    <row r="45" ht="9.75">
      <c r="L45" s="8"/>
    </row>
    <row r="46" ht="9.75">
      <c r="L46" s="8"/>
    </row>
    <row r="47" ht="9.75">
      <c r="L47" s="8"/>
    </row>
    <row r="48" ht="9.75">
      <c r="L48" s="8"/>
    </row>
    <row r="49" ht="9.75">
      <c r="L49" s="8"/>
    </row>
    <row r="50" ht="9.75">
      <c r="L50" s="8"/>
    </row>
  </sheetData>
  <sheetProtection/>
  <mergeCells count="58">
    <mergeCell ref="A4:A6"/>
    <mergeCell ref="T4:AB4"/>
    <mergeCell ref="B4:J4"/>
    <mergeCell ref="K4:S4"/>
    <mergeCell ref="A1:BK1"/>
    <mergeCell ref="A2:BK2"/>
    <mergeCell ref="Z5:AB5"/>
    <mergeCell ref="M5:O5"/>
    <mergeCell ref="P5:P6"/>
    <mergeCell ref="B3:AU3"/>
    <mergeCell ref="AD4:AL4"/>
    <mergeCell ref="AM4:AU4"/>
    <mergeCell ref="AD5:AD6"/>
    <mergeCell ref="AM5:AM6"/>
    <mergeCell ref="Y5:Y6"/>
    <mergeCell ref="C5:C6"/>
    <mergeCell ref="AJ5:AL5"/>
    <mergeCell ref="AN5:AN6"/>
    <mergeCell ref="AE5:AE6"/>
    <mergeCell ref="AI5:AI6"/>
    <mergeCell ref="U5:U6"/>
    <mergeCell ref="V5:X5"/>
    <mergeCell ref="B5:B6"/>
    <mergeCell ref="K5:K6"/>
    <mergeCell ref="T5:T6"/>
    <mergeCell ref="D5:F5"/>
    <mergeCell ref="G5:G6"/>
    <mergeCell ref="Q5:S5"/>
    <mergeCell ref="H5:J5"/>
    <mergeCell ref="L5:L6"/>
    <mergeCell ref="CC5:CC6"/>
    <mergeCell ref="CD5:CF5"/>
    <mergeCell ref="AR5:AR6"/>
    <mergeCell ref="AS5:AU5"/>
    <mergeCell ref="BC5:BE5"/>
    <mergeCell ref="BF5:BF6"/>
    <mergeCell ref="BK5:BK6"/>
    <mergeCell ref="BL5:BN5"/>
    <mergeCell ref="AO5:AQ5"/>
    <mergeCell ref="AF5:AH5"/>
    <mergeCell ref="AW4:BE4"/>
    <mergeCell ref="BF4:BN4"/>
    <mergeCell ref="AW5:AW6"/>
    <mergeCell ref="AX5:AX6"/>
    <mergeCell ref="AY5:BA5"/>
    <mergeCell ref="BB5:BB6"/>
    <mergeCell ref="BG5:BG6"/>
    <mergeCell ref="BH5:BJ5"/>
    <mergeCell ref="BO4:BW4"/>
    <mergeCell ref="BX4:CF4"/>
    <mergeCell ref="BO5:BO6"/>
    <mergeCell ref="BP5:BP6"/>
    <mergeCell ref="BQ5:BS5"/>
    <mergeCell ref="BT5:BT6"/>
    <mergeCell ref="BU5:BW5"/>
    <mergeCell ref="BX5:BX6"/>
    <mergeCell ref="BY5:BY6"/>
    <mergeCell ref="BZ5:CB5"/>
  </mergeCells>
  <printOptions/>
  <pageMargins left="0.2362204724409449" right="0.2362204724409449" top="0.31496062992125984" bottom="0.2755905511811024" header="0.31496062992125984" footer="0.31496062992125984"/>
  <pageSetup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T50"/>
  <sheetViews>
    <sheetView zoomScale="50" zoomScaleNormal="50" zoomScalePageLayoutView="0" workbookViewId="0" topLeftCell="A1">
      <selection activeCell="W9" sqref="W9"/>
    </sheetView>
  </sheetViews>
  <sheetFormatPr defaultColWidth="9.140625" defaultRowHeight="15"/>
  <cols>
    <col min="1" max="1" width="12.28125" style="53" customWidth="1"/>
    <col min="2" max="2" width="4.57421875" style="53" hidden="1" customWidth="1"/>
    <col min="3" max="3" width="3.7109375" style="53" customWidth="1"/>
    <col min="4" max="4" width="4.7109375" style="53" customWidth="1"/>
    <col min="5" max="5" width="3.28125" style="53" customWidth="1"/>
    <col min="6" max="6" width="4.8515625" style="53" customWidth="1"/>
    <col min="7" max="7" width="3.57421875" style="53" customWidth="1"/>
    <col min="8" max="8" width="5.28125" style="53" customWidth="1"/>
    <col min="9" max="9" width="3.8515625" style="53" customWidth="1"/>
    <col min="10" max="10" width="5.140625" style="53" customWidth="1"/>
    <col min="11" max="11" width="3.7109375" style="53" customWidth="1"/>
    <col min="12" max="12" width="5.140625" style="53" customWidth="1"/>
    <col min="13" max="13" width="3.28125" style="53" customWidth="1"/>
    <col min="14" max="14" width="4.7109375" style="53" customWidth="1"/>
    <col min="15" max="15" width="3.28125" style="53" customWidth="1"/>
    <col min="16" max="16" width="4.28125" style="53" customWidth="1"/>
    <col min="17" max="17" width="5.7109375" style="53" customWidth="1"/>
    <col min="18" max="18" width="4.140625" style="53" customWidth="1"/>
    <col min="19" max="19" width="4.8515625" style="53" hidden="1" customWidth="1"/>
    <col min="20" max="20" width="4.140625" style="53" hidden="1" customWidth="1"/>
    <col min="21" max="21" width="0.2890625" style="53" hidden="1" customWidth="1"/>
    <col min="22" max="22" width="5.140625" style="53" customWidth="1"/>
    <col min="23" max="24" width="5.00390625" style="53" customWidth="1"/>
    <col min="25" max="25" width="4.57421875" style="53" customWidth="1"/>
    <col min="26" max="26" width="5.00390625" style="53" customWidth="1"/>
    <col min="27" max="27" width="5.8515625" style="53" customWidth="1"/>
    <col min="28" max="28" width="5.00390625" style="53" customWidth="1"/>
    <col min="29" max="29" width="4.421875" style="53" customWidth="1"/>
    <col min="30" max="30" width="5.57421875" style="53" customWidth="1"/>
    <col min="31" max="31" width="5.00390625" style="53" customWidth="1"/>
    <col min="32" max="32" width="4.7109375" style="53" customWidth="1"/>
    <col min="33" max="33" width="4.28125" style="53" customWidth="1"/>
    <col min="34" max="35" width="4.7109375" style="53" customWidth="1"/>
    <col min="36" max="36" width="5.140625" style="53" customWidth="1"/>
    <col min="37" max="37" width="3.7109375" style="53" customWidth="1"/>
    <col min="38" max="38" width="5.00390625" style="53" hidden="1" customWidth="1"/>
    <col min="39" max="39" width="5.140625" style="53" hidden="1" customWidth="1"/>
    <col min="40" max="40" width="0.13671875" style="53" hidden="1" customWidth="1"/>
    <col min="41" max="42" width="4.7109375" style="53" hidden="1" customWidth="1"/>
    <col min="43" max="43" width="4.140625" style="53" hidden="1" customWidth="1"/>
    <col min="44" max="44" width="5.28125" style="53" hidden="1" customWidth="1"/>
    <col min="45" max="45" width="3.7109375" style="53" hidden="1" customWidth="1"/>
    <col min="46" max="46" width="3.8515625" style="53" hidden="1" customWidth="1"/>
    <col min="47" max="47" width="3.28125" style="53" hidden="1" customWidth="1"/>
    <col min="48" max="48" width="3.00390625" style="53" hidden="1" customWidth="1"/>
    <col min="49" max="49" width="2.28125" style="53" hidden="1" customWidth="1"/>
    <col min="50" max="50" width="3.28125" style="53" hidden="1" customWidth="1"/>
    <col min="51" max="51" width="3.140625" style="53" hidden="1" customWidth="1"/>
    <col min="52" max="53" width="2.7109375" style="53" hidden="1" customWidth="1"/>
    <col min="54" max="54" width="3.7109375" style="53" hidden="1" customWidth="1"/>
    <col min="55" max="55" width="2.28125" style="53" hidden="1" customWidth="1"/>
    <col min="56" max="56" width="2.57421875" style="53" hidden="1" customWidth="1"/>
    <col min="57" max="57" width="2.421875" style="53" hidden="1" customWidth="1"/>
    <col min="58" max="58" width="4.7109375" style="53" hidden="1" customWidth="1"/>
    <col min="59" max="60" width="4.57421875" style="53" hidden="1" customWidth="1"/>
    <col min="61" max="61" width="14.28125" style="53" hidden="1" customWidth="1"/>
    <col min="62" max="62" width="5.00390625" style="53" customWidth="1"/>
    <col min="63" max="63" width="5.421875" style="53" customWidth="1"/>
    <col min="64" max="64" width="4.28125" style="53" customWidth="1"/>
    <col min="65" max="66" width="5.140625" style="53" customWidth="1"/>
    <col min="67" max="67" width="5.421875" style="53" customWidth="1"/>
    <col min="68" max="68" width="3.8515625" style="53" customWidth="1"/>
    <col min="69" max="69" width="5.140625" style="53" customWidth="1"/>
    <col min="70" max="70" width="4.140625" style="53" customWidth="1"/>
    <col min="71" max="71" width="6.421875" style="53" customWidth="1"/>
    <col min="72" max="72" width="4.57421875" style="53" customWidth="1"/>
    <col min="73" max="73" width="5.421875" style="53" customWidth="1"/>
    <col min="74" max="74" width="4.28125" style="53" customWidth="1"/>
    <col min="75" max="75" width="4.7109375" style="53" customWidth="1"/>
    <col min="76" max="76" width="4.00390625" style="53" customWidth="1"/>
    <col min="77" max="77" width="4.8515625" style="53" customWidth="1"/>
    <col min="78" max="78" width="5.28125" style="53" hidden="1" customWidth="1"/>
    <col min="79" max="79" width="5.140625" style="53" hidden="1" customWidth="1"/>
    <col min="80" max="80" width="23.8515625" style="53" hidden="1" customWidth="1"/>
    <col min="81" max="81" width="0.2890625" style="53" hidden="1" customWidth="1"/>
    <col min="82" max="82" width="4.28125" style="53" hidden="1" customWidth="1"/>
    <col min="83" max="83" width="3.140625" style="53" hidden="1" customWidth="1"/>
    <col min="84" max="84" width="4.7109375" style="53" hidden="1" customWidth="1"/>
    <col min="85" max="85" width="2.421875" style="53" hidden="1" customWidth="1"/>
    <col min="86" max="86" width="3.7109375" style="53" hidden="1" customWidth="1"/>
    <col min="87" max="87" width="2.7109375" style="53" hidden="1" customWidth="1"/>
    <col min="88" max="88" width="4.57421875" style="53" hidden="1" customWidth="1"/>
    <col min="89" max="89" width="3.140625" style="53" hidden="1" customWidth="1"/>
    <col min="90" max="90" width="3.7109375" style="53" hidden="1" customWidth="1"/>
    <col min="91" max="91" width="4.00390625" style="53" hidden="1" customWidth="1"/>
    <col min="92" max="92" width="3.421875" style="53" hidden="1" customWidth="1"/>
    <col min="93" max="93" width="3.28125" style="53" hidden="1" customWidth="1"/>
    <col min="94" max="94" width="4.57421875" style="53" hidden="1" customWidth="1"/>
    <col min="95" max="95" width="2.7109375" style="53" hidden="1" customWidth="1"/>
    <col min="96" max="96" width="4.57421875" style="53" hidden="1" customWidth="1"/>
    <col min="97" max="97" width="3.421875" style="53" hidden="1" customWidth="1"/>
    <col min="98" max="99" width="6.28125" style="53" hidden="1" customWidth="1"/>
    <col min="100" max="100" width="17.7109375" style="53" customWidth="1"/>
    <col min="101" max="101" width="4.7109375" style="53" customWidth="1"/>
    <col min="102" max="102" width="5.57421875" style="53" customWidth="1"/>
    <col min="103" max="104" width="4.00390625" style="53" customWidth="1"/>
    <col min="105" max="105" width="3.8515625" style="53" customWidth="1"/>
    <col min="106" max="106" width="5.140625" style="53" customWidth="1"/>
    <col min="107" max="107" width="4.28125" style="53" customWidth="1"/>
    <col min="108" max="108" width="6.00390625" style="53" customWidth="1"/>
    <col min="109" max="109" width="4.421875" style="53" customWidth="1"/>
    <col min="110" max="110" width="6.140625" style="53" customWidth="1"/>
    <col min="111" max="111" width="4.8515625" style="53" customWidth="1"/>
    <col min="112" max="112" width="5.7109375" style="53" customWidth="1"/>
    <col min="113" max="113" width="4.421875" style="53" customWidth="1"/>
    <col min="114" max="114" width="4.7109375" style="53" customWidth="1"/>
    <col min="115" max="115" width="3.7109375" style="53" customWidth="1"/>
    <col min="116" max="116" width="3.8515625" style="53" customWidth="1"/>
    <col min="117" max="117" width="8.8515625" style="53" hidden="1" customWidth="1"/>
    <col min="118" max="118" width="9.140625" style="53" hidden="1" customWidth="1"/>
    <col min="119" max="119" width="10.8515625" style="53" hidden="1" customWidth="1"/>
    <col min="120" max="120" width="4.421875" style="53" hidden="1" customWidth="1"/>
    <col min="121" max="121" width="4.7109375" style="53" hidden="1" customWidth="1"/>
    <col min="122" max="122" width="5.28125" style="53" hidden="1" customWidth="1"/>
    <col min="123" max="123" width="4.421875" style="53" hidden="1" customWidth="1"/>
    <col min="124" max="124" width="3.7109375" style="53" hidden="1" customWidth="1"/>
    <col min="125" max="125" width="4.7109375" style="53" hidden="1" customWidth="1"/>
    <col min="126" max="126" width="4.28125" style="53" hidden="1" customWidth="1"/>
    <col min="127" max="127" width="4.7109375" style="53" hidden="1" customWidth="1"/>
    <col min="128" max="128" width="4.28125" style="53" hidden="1" customWidth="1"/>
    <col min="129" max="129" width="4.7109375" style="53" hidden="1" customWidth="1"/>
    <col min="130" max="130" width="4.8515625" style="53" hidden="1" customWidth="1"/>
    <col min="131" max="131" width="5.7109375" style="53" hidden="1" customWidth="1"/>
    <col min="132" max="132" width="3.8515625" style="53" hidden="1" customWidth="1"/>
    <col min="133" max="133" width="4.7109375" style="53" hidden="1" customWidth="1"/>
    <col min="134" max="134" width="4.57421875" style="53" hidden="1" customWidth="1"/>
    <col min="135" max="135" width="4.7109375" style="53" hidden="1" customWidth="1"/>
    <col min="136" max="136" width="4.140625" style="53" hidden="1" customWidth="1"/>
    <col min="137" max="139" width="8.8515625" style="53" hidden="1" customWidth="1"/>
    <col min="140" max="140" width="4.28125" style="53" customWidth="1"/>
    <col min="141" max="141" width="6.28125" style="53" customWidth="1"/>
    <col min="142" max="142" width="4.8515625" style="53" customWidth="1"/>
    <col min="143" max="143" width="5.7109375" style="53" customWidth="1"/>
    <col min="144" max="144" width="4.140625" style="53" customWidth="1"/>
    <col min="145" max="145" width="5.28125" style="53" customWidth="1"/>
    <col min="146" max="146" width="4.57421875" style="53" customWidth="1"/>
    <col min="147" max="147" width="5.28125" style="53" customWidth="1"/>
    <col min="148" max="148" width="4.28125" style="53" customWidth="1"/>
    <col min="149" max="149" width="5.7109375" style="53" customWidth="1"/>
    <col min="150" max="150" width="4.28125" style="53" customWidth="1"/>
    <col min="151" max="151" width="5.57421875" style="53" customWidth="1"/>
    <col min="152" max="152" width="5.00390625" style="53" customWidth="1"/>
    <col min="153" max="153" width="4.421875" style="53" customWidth="1"/>
    <col min="154" max="154" width="4.7109375" style="53" customWidth="1"/>
    <col min="155" max="155" width="4.421875" style="53" customWidth="1"/>
    <col min="156" max="158" width="8.8515625" style="53" hidden="1" customWidth="1"/>
    <col min="159" max="159" width="7.28125" style="53" customWidth="1"/>
    <col min="160" max="160" width="5.7109375" style="53" customWidth="1"/>
    <col min="161" max="161" width="4.28125" style="53" customWidth="1"/>
    <col min="162" max="162" width="5.28125" style="53" customWidth="1"/>
    <col min="163" max="163" width="4.7109375" style="53" customWidth="1"/>
    <col min="164" max="164" width="5.140625" style="53" customWidth="1"/>
    <col min="165" max="165" width="5.28125" style="53" customWidth="1"/>
    <col min="166" max="166" width="4.421875" style="53" customWidth="1"/>
    <col min="167" max="168" width="3.7109375" style="53" customWidth="1"/>
    <col min="169" max="169" width="4.7109375" style="53" customWidth="1"/>
    <col min="170" max="171" width="4.28125" style="53" customWidth="1"/>
    <col min="172" max="172" width="4.00390625" style="53" customWidth="1"/>
    <col min="173" max="173" width="5.140625" style="53" hidden="1" customWidth="1"/>
    <col min="174" max="174" width="4.421875" style="53" hidden="1" customWidth="1"/>
    <col min="175" max="175" width="0.2890625" style="53" hidden="1" customWidth="1"/>
    <col min="176" max="176" width="8.8515625" style="53" hidden="1" customWidth="1"/>
    <col min="177" max="16384" width="8.8515625" style="53" customWidth="1"/>
  </cols>
  <sheetData>
    <row r="1" spans="1:172" ht="15.75">
      <c r="A1" s="304" t="s">
        <v>37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304"/>
      <c r="BN1" s="304"/>
      <c r="BO1" s="304"/>
      <c r="BP1" s="304"/>
      <c r="BQ1" s="304"/>
      <c r="BR1" s="304"/>
      <c r="BS1" s="304"/>
      <c r="BT1" s="304"/>
      <c r="BU1" s="304"/>
      <c r="BV1" s="304"/>
      <c r="BW1" s="304"/>
      <c r="BX1" s="304"/>
      <c r="BY1" s="304"/>
      <c r="BZ1" s="304"/>
      <c r="CA1" s="304"/>
      <c r="CB1" s="304"/>
      <c r="CC1" s="304"/>
      <c r="CD1" s="304"/>
      <c r="CE1" s="304"/>
      <c r="CF1" s="304"/>
      <c r="CG1" s="304"/>
      <c r="CH1" s="304"/>
      <c r="CI1" s="304"/>
      <c r="CJ1" s="304"/>
      <c r="CK1" s="304"/>
      <c r="CL1" s="304"/>
      <c r="CM1" s="304"/>
      <c r="CN1" s="304"/>
      <c r="CO1" s="304"/>
      <c r="CP1" s="304"/>
      <c r="CQ1" s="304"/>
      <c r="CR1" s="304"/>
      <c r="CS1" s="304"/>
      <c r="CV1" s="351" t="s">
        <v>37</v>
      </c>
      <c r="CW1" s="351"/>
      <c r="CX1" s="351"/>
      <c r="CY1" s="351"/>
      <c r="CZ1" s="351"/>
      <c r="DA1" s="351"/>
      <c r="DB1" s="351"/>
      <c r="DC1" s="351"/>
      <c r="DD1" s="351"/>
      <c r="DE1" s="351"/>
      <c r="DF1" s="351"/>
      <c r="DG1" s="351"/>
      <c r="DH1" s="351"/>
      <c r="DI1" s="351"/>
      <c r="DJ1" s="351"/>
      <c r="DK1" s="351"/>
      <c r="DL1" s="351"/>
      <c r="DM1" s="351"/>
      <c r="DN1" s="351"/>
      <c r="DO1" s="351"/>
      <c r="DP1" s="351"/>
      <c r="DQ1" s="351"/>
      <c r="DR1" s="351"/>
      <c r="DS1" s="351"/>
      <c r="DT1" s="351"/>
      <c r="DU1" s="351"/>
      <c r="DV1" s="351"/>
      <c r="DW1" s="351"/>
      <c r="DX1" s="351"/>
      <c r="DY1" s="351"/>
      <c r="DZ1" s="351"/>
      <c r="EA1" s="351"/>
      <c r="EB1" s="351"/>
      <c r="EC1" s="351"/>
      <c r="ED1" s="351"/>
      <c r="EE1" s="351"/>
      <c r="EF1" s="351"/>
      <c r="EG1" s="351"/>
      <c r="EH1" s="351"/>
      <c r="EI1" s="351"/>
      <c r="EJ1" s="351"/>
      <c r="EK1" s="351"/>
      <c r="EL1" s="351"/>
      <c r="EM1" s="351"/>
      <c r="EN1" s="351"/>
      <c r="EO1" s="351"/>
      <c r="EP1" s="351"/>
      <c r="EQ1" s="351"/>
      <c r="ER1" s="351"/>
      <c r="ES1" s="351"/>
      <c r="ET1" s="351"/>
      <c r="EU1" s="351"/>
      <c r="EV1" s="351"/>
      <c r="EW1" s="351"/>
      <c r="EX1" s="351"/>
      <c r="EY1" s="351"/>
      <c r="EZ1" s="351"/>
      <c r="FA1" s="351"/>
      <c r="FB1" s="351"/>
      <c r="FC1" s="351"/>
      <c r="FD1" s="351"/>
      <c r="FE1" s="351"/>
      <c r="FF1" s="351"/>
      <c r="FG1" s="351"/>
      <c r="FH1" s="351"/>
      <c r="FI1" s="351"/>
      <c r="FJ1" s="351"/>
      <c r="FK1" s="351"/>
      <c r="FL1" s="351"/>
      <c r="FM1" s="351"/>
      <c r="FN1" s="351"/>
      <c r="FO1" s="351"/>
      <c r="FP1" s="351"/>
    </row>
    <row r="2" spans="1:172" ht="19.5" customHeight="1">
      <c r="A2" s="316"/>
      <c r="B2" s="374" t="s">
        <v>35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375"/>
      <c r="AP2" s="375"/>
      <c r="AQ2" s="375"/>
      <c r="AR2" s="375"/>
      <c r="AS2" s="375"/>
      <c r="AT2" s="375"/>
      <c r="AU2" s="375"/>
      <c r="AV2" s="375"/>
      <c r="AW2" s="375"/>
      <c r="AX2" s="375"/>
      <c r="AY2" s="375"/>
      <c r="AZ2" s="375"/>
      <c r="BA2" s="375"/>
      <c r="BB2" s="375"/>
      <c r="BC2" s="375"/>
      <c r="BD2" s="375"/>
      <c r="BE2" s="375"/>
      <c r="BF2" s="375"/>
      <c r="BG2" s="375"/>
      <c r="BH2" s="375"/>
      <c r="BI2" s="375"/>
      <c r="BJ2" s="375"/>
      <c r="BK2" s="375"/>
      <c r="BL2" s="375"/>
      <c r="BM2" s="375"/>
      <c r="BN2" s="375"/>
      <c r="BO2" s="375"/>
      <c r="BP2" s="375"/>
      <c r="BQ2" s="375"/>
      <c r="BR2" s="375"/>
      <c r="BS2" s="375"/>
      <c r="BT2" s="375"/>
      <c r="BU2" s="375"/>
      <c r="BV2" s="375"/>
      <c r="BW2" s="375"/>
      <c r="BX2" s="375"/>
      <c r="BY2" s="375"/>
      <c r="BZ2" s="375"/>
      <c r="CA2" s="375"/>
      <c r="CB2" s="375"/>
      <c r="CC2" s="375"/>
      <c r="CD2" s="375"/>
      <c r="CE2" s="375"/>
      <c r="CF2" s="375"/>
      <c r="CG2" s="375"/>
      <c r="CH2" s="375"/>
      <c r="CI2" s="375"/>
      <c r="CJ2" s="375"/>
      <c r="CK2" s="375"/>
      <c r="CL2" s="375"/>
      <c r="CM2" s="375"/>
      <c r="CN2" s="375"/>
      <c r="CO2" s="375"/>
      <c r="CP2" s="375"/>
      <c r="CQ2" s="375"/>
      <c r="CR2" s="375"/>
      <c r="CS2" s="375"/>
      <c r="CV2" s="351" t="s">
        <v>35</v>
      </c>
      <c r="CW2" s="351"/>
      <c r="CX2" s="351"/>
      <c r="CY2" s="351"/>
      <c r="CZ2" s="351"/>
      <c r="DA2" s="351"/>
      <c r="DB2" s="351"/>
      <c r="DC2" s="351"/>
      <c r="DD2" s="351"/>
      <c r="DE2" s="351"/>
      <c r="DF2" s="351"/>
      <c r="DG2" s="351"/>
      <c r="DH2" s="351"/>
      <c r="DI2" s="351"/>
      <c r="DJ2" s="351"/>
      <c r="DK2" s="351"/>
      <c r="DL2" s="351"/>
      <c r="DM2" s="351"/>
      <c r="DN2" s="351"/>
      <c r="DO2" s="351"/>
      <c r="DP2" s="351"/>
      <c r="DQ2" s="351"/>
      <c r="DR2" s="351"/>
      <c r="DS2" s="351"/>
      <c r="DT2" s="351"/>
      <c r="DU2" s="351"/>
      <c r="DV2" s="351"/>
      <c r="DW2" s="351"/>
      <c r="DX2" s="351"/>
      <c r="DY2" s="351"/>
      <c r="DZ2" s="351"/>
      <c r="EA2" s="351"/>
      <c r="EB2" s="351"/>
      <c r="EC2" s="351"/>
      <c r="ED2" s="351"/>
      <c r="EE2" s="351"/>
      <c r="EF2" s="351"/>
      <c r="EG2" s="351"/>
      <c r="EH2" s="351"/>
      <c r="EI2" s="351"/>
      <c r="EJ2" s="351"/>
      <c r="EK2" s="351"/>
      <c r="EL2" s="351"/>
      <c r="EM2" s="351"/>
      <c r="EN2" s="351"/>
      <c r="EO2" s="351"/>
      <c r="EP2" s="351"/>
      <c r="EQ2" s="351"/>
      <c r="ER2" s="351"/>
      <c r="ES2" s="351"/>
      <c r="ET2" s="351"/>
      <c r="EU2" s="351"/>
      <c r="EV2" s="351"/>
      <c r="EW2" s="351"/>
      <c r="EX2" s="351"/>
      <c r="EY2" s="351"/>
      <c r="EZ2" s="351"/>
      <c r="FA2" s="351"/>
      <c r="FB2" s="351"/>
      <c r="FC2" s="351"/>
      <c r="FD2" s="351"/>
      <c r="FE2" s="351"/>
      <c r="FF2" s="351"/>
      <c r="FG2" s="351"/>
      <c r="FH2" s="351"/>
      <c r="FI2" s="351"/>
      <c r="FJ2" s="351"/>
      <c r="FK2" s="351"/>
      <c r="FL2" s="351"/>
      <c r="FM2" s="351"/>
      <c r="FN2" s="351"/>
      <c r="FO2" s="351"/>
      <c r="FP2" s="351"/>
    </row>
    <row r="3" spans="1:172" ht="18" customHeight="1" thickBot="1">
      <c r="A3" s="316"/>
      <c r="B3" s="376" t="s">
        <v>57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  <c r="AQ3" s="377"/>
      <c r="AR3" s="377"/>
      <c r="AS3" s="377"/>
      <c r="AT3" s="377"/>
      <c r="AU3" s="377"/>
      <c r="AV3" s="377"/>
      <c r="AW3" s="377"/>
      <c r="AX3" s="377"/>
      <c r="AY3" s="377"/>
      <c r="AZ3" s="377"/>
      <c r="BA3" s="377"/>
      <c r="BB3" s="377"/>
      <c r="BC3" s="377"/>
      <c r="BD3" s="377"/>
      <c r="BE3" s="377"/>
      <c r="BF3" s="377"/>
      <c r="BG3" s="377"/>
      <c r="BH3" s="377"/>
      <c r="BI3" s="377"/>
      <c r="BJ3" s="377"/>
      <c r="BK3" s="377"/>
      <c r="BL3" s="377"/>
      <c r="BM3" s="377"/>
      <c r="BN3" s="377"/>
      <c r="BO3" s="377"/>
      <c r="BP3" s="377"/>
      <c r="BQ3" s="377"/>
      <c r="BR3" s="377"/>
      <c r="BS3" s="377"/>
      <c r="BT3" s="377"/>
      <c r="BU3" s="377"/>
      <c r="BV3" s="377"/>
      <c r="BW3" s="377"/>
      <c r="BX3" s="377"/>
      <c r="BY3" s="377"/>
      <c r="BZ3" s="377"/>
      <c r="CA3" s="377"/>
      <c r="CB3" s="377"/>
      <c r="CC3" s="377"/>
      <c r="CD3" s="377"/>
      <c r="CE3" s="377"/>
      <c r="CF3" s="377"/>
      <c r="CG3" s="377"/>
      <c r="CH3" s="377"/>
      <c r="CI3" s="377"/>
      <c r="CJ3" s="377"/>
      <c r="CK3" s="377"/>
      <c r="CL3" s="377"/>
      <c r="CM3" s="377"/>
      <c r="CN3" s="377"/>
      <c r="CO3" s="377"/>
      <c r="CP3" s="377"/>
      <c r="CQ3" s="377"/>
      <c r="CR3" s="377"/>
      <c r="CS3" s="377"/>
      <c r="CV3" s="352" t="s">
        <v>57</v>
      </c>
      <c r="CW3" s="352"/>
      <c r="CX3" s="352"/>
      <c r="CY3" s="352"/>
      <c r="CZ3" s="352"/>
      <c r="DA3" s="352"/>
      <c r="DB3" s="352"/>
      <c r="DC3" s="352"/>
      <c r="DD3" s="352"/>
      <c r="DE3" s="352"/>
      <c r="DF3" s="352"/>
      <c r="DG3" s="352"/>
      <c r="DH3" s="352"/>
      <c r="DI3" s="352"/>
      <c r="DJ3" s="352"/>
      <c r="DK3" s="352"/>
      <c r="DL3" s="352"/>
      <c r="DM3" s="352"/>
      <c r="DN3" s="352"/>
      <c r="DO3" s="352"/>
      <c r="DP3" s="352"/>
      <c r="DQ3" s="352"/>
      <c r="DR3" s="352"/>
      <c r="DS3" s="352"/>
      <c r="DT3" s="352"/>
      <c r="DU3" s="352"/>
      <c r="DV3" s="352"/>
      <c r="DW3" s="352"/>
      <c r="DX3" s="352"/>
      <c r="DY3" s="352"/>
      <c r="DZ3" s="352"/>
      <c r="EA3" s="352"/>
      <c r="EB3" s="352"/>
      <c r="EC3" s="352"/>
      <c r="ED3" s="352"/>
      <c r="EE3" s="352"/>
      <c r="EF3" s="352"/>
      <c r="EG3" s="352"/>
      <c r="EH3" s="352"/>
      <c r="EI3" s="352"/>
      <c r="EJ3" s="352"/>
      <c r="EK3" s="352"/>
      <c r="EL3" s="352"/>
      <c r="EM3" s="352"/>
      <c r="EN3" s="352"/>
      <c r="EO3" s="352"/>
      <c r="EP3" s="352"/>
      <c r="EQ3" s="352"/>
      <c r="ER3" s="352"/>
      <c r="ES3" s="352"/>
      <c r="ET3" s="352"/>
      <c r="EU3" s="352"/>
      <c r="EV3" s="352"/>
      <c r="EW3" s="352"/>
      <c r="EX3" s="352"/>
      <c r="EY3" s="352"/>
      <c r="EZ3" s="352"/>
      <c r="FA3" s="352"/>
      <c r="FB3" s="352"/>
      <c r="FC3" s="352"/>
      <c r="FD3" s="352"/>
      <c r="FE3" s="352"/>
      <c r="FF3" s="352"/>
      <c r="FG3" s="352"/>
      <c r="FH3" s="352"/>
      <c r="FI3" s="352"/>
      <c r="FJ3" s="352"/>
      <c r="FK3" s="352"/>
      <c r="FL3" s="352"/>
      <c r="FM3" s="352"/>
      <c r="FN3" s="352"/>
      <c r="FO3" s="352"/>
      <c r="FP3" s="352"/>
    </row>
    <row r="4" spans="1:176" ht="13.5" customHeight="1" thickBot="1">
      <c r="A4" s="316"/>
      <c r="B4" s="386">
        <v>2018</v>
      </c>
      <c r="C4" s="387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9"/>
      <c r="U4" s="386">
        <v>2019</v>
      </c>
      <c r="V4" s="387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9"/>
      <c r="AN4" s="85"/>
      <c r="AO4" s="353" t="s">
        <v>11</v>
      </c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4"/>
      <c r="BB4" s="354"/>
      <c r="BC4" s="354"/>
      <c r="BD4" s="354"/>
      <c r="BE4" s="354"/>
      <c r="BF4" s="354"/>
      <c r="BG4" s="355"/>
      <c r="BH4" s="365">
        <v>2020</v>
      </c>
      <c r="BI4" s="395"/>
      <c r="BJ4" s="395"/>
      <c r="BK4" s="366"/>
      <c r="BL4" s="366"/>
      <c r="BM4" s="366"/>
      <c r="BN4" s="366"/>
      <c r="BO4" s="366"/>
      <c r="BP4" s="366"/>
      <c r="BQ4" s="366"/>
      <c r="BR4" s="366"/>
      <c r="BS4" s="366"/>
      <c r="BT4" s="366"/>
      <c r="BU4" s="366"/>
      <c r="BV4" s="366"/>
      <c r="BW4" s="366"/>
      <c r="BX4" s="366"/>
      <c r="BY4" s="366"/>
      <c r="BZ4" s="366"/>
      <c r="CA4" s="367"/>
      <c r="CB4" s="85"/>
      <c r="CC4" s="353" t="s">
        <v>43</v>
      </c>
      <c r="CD4" s="354"/>
      <c r="CE4" s="354"/>
      <c r="CF4" s="354"/>
      <c r="CG4" s="354"/>
      <c r="CH4" s="354"/>
      <c r="CI4" s="354"/>
      <c r="CJ4" s="354"/>
      <c r="CK4" s="354"/>
      <c r="CL4" s="354"/>
      <c r="CM4" s="354"/>
      <c r="CN4" s="354"/>
      <c r="CO4" s="354"/>
      <c r="CP4" s="354"/>
      <c r="CQ4" s="354"/>
      <c r="CR4" s="354"/>
      <c r="CS4" s="354"/>
      <c r="CT4" s="354"/>
      <c r="CU4" s="354"/>
      <c r="CV4" s="365">
        <v>2021</v>
      </c>
      <c r="CW4" s="366"/>
      <c r="CX4" s="366"/>
      <c r="CY4" s="366"/>
      <c r="CZ4" s="366"/>
      <c r="DA4" s="366"/>
      <c r="DB4" s="366"/>
      <c r="DC4" s="366"/>
      <c r="DD4" s="366"/>
      <c r="DE4" s="366"/>
      <c r="DF4" s="366"/>
      <c r="DG4" s="366"/>
      <c r="DH4" s="366"/>
      <c r="DI4" s="366"/>
      <c r="DJ4" s="366"/>
      <c r="DK4" s="366"/>
      <c r="DL4" s="366"/>
      <c r="DM4" s="366"/>
      <c r="DN4" s="367"/>
      <c r="DO4" s="85"/>
      <c r="DP4" s="353" t="s">
        <v>50</v>
      </c>
      <c r="DQ4" s="354"/>
      <c r="DR4" s="354"/>
      <c r="DS4" s="354"/>
      <c r="DT4" s="354"/>
      <c r="DU4" s="354"/>
      <c r="DV4" s="354"/>
      <c r="DW4" s="354"/>
      <c r="DX4" s="354"/>
      <c r="DY4" s="354"/>
      <c r="DZ4" s="354"/>
      <c r="EA4" s="354"/>
      <c r="EB4" s="354"/>
      <c r="EC4" s="354"/>
      <c r="ED4" s="354"/>
      <c r="EE4" s="354"/>
      <c r="EF4" s="354"/>
      <c r="EG4" s="354"/>
      <c r="EH4" s="355"/>
      <c r="EI4" s="365">
        <v>2022</v>
      </c>
      <c r="EJ4" s="366"/>
      <c r="EK4" s="366"/>
      <c r="EL4" s="366"/>
      <c r="EM4" s="366"/>
      <c r="EN4" s="366"/>
      <c r="EO4" s="366"/>
      <c r="EP4" s="366"/>
      <c r="EQ4" s="366"/>
      <c r="ER4" s="366"/>
      <c r="ES4" s="366"/>
      <c r="ET4" s="366"/>
      <c r="EU4" s="366"/>
      <c r="EV4" s="366"/>
      <c r="EW4" s="366"/>
      <c r="EX4" s="366"/>
      <c r="EY4" s="366"/>
      <c r="EZ4" s="366"/>
      <c r="FA4" s="367"/>
      <c r="FB4" s="353" t="s">
        <v>52</v>
      </c>
      <c r="FC4" s="354"/>
      <c r="FD4" s="354"/>
      <c r="FE4" s="354"/>
      <c r="FF4" s="354"/>
      <c r="FG4" s="354"/>
      <c r="FH4" s="354"/>
      <c r="FI4" s="354"/>
      <c r="FJ4" s="354"/>
      <c r="FK4" s="354"/>
      <c r="FL4" s="354"/>
      <c r="FM4" s="354"/>
      <c r="FN4" s="354"/>
      <c r="FO4" s="354"/>
      <c r="FP4" s="354"/>
      <c r="FQ4" s="354"/>
      <c r="FR4" s="354"/>
      <c r="FS4" s="354"/>
      <c r="FT4" s="355"/>
    </row>
    <row r="5" spans="1:176" ht="11.25">
      <c r="A5" s="316"/>
      <c r="B5" s="390"/>
      <c r="C5" s="381" t="s">
        <v>7</v>
      </c>
      <c r="D5" s="381"/>
      <c r="E5" s="381"/>
      <c r="F5" s="381"/>
      <c r="G5" s="359" t="s">
        <v>12</v>
      </c>
      <c r="H5" s="360"/>
      <c r="I5" s="360"/>
      <c r="J5" s="360"/>
      <c r="K5" s="360"/>
      <c r="L5" s="360"/>
      <c r="M5" s="360"/>
      <c r="N5" s="360"/>
      <c r="O5" s="360"/>
      <c r="P5" s="360"/>
      <c r="Q5" s="245"/>
      <c r="R5" s="245"/>
      <c r="S5" s="363" t="s">
        <v>8</v>
      </c>
      <c r="T5" s="364"/>
      <c r="U5" s="391"/>
      <c r="V5" s="383" t="s">
        <v>7</v>
      </c>
      <c r="W5" s="384"/>
      <c r="X5" s="384"/>
      <c r="Y5" s="385"/>
      <c r="Z5" s="378" t="s">
        <v>12</v>
      </c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80"/>
      <c r="AL5" s="363" t="s">
        <v>8</v>
      </c>
      <c r="AM5" s="364"/>
      <c r="AN5" s="242"/>
      <c r="AO5" s="312"/>
      <c r="AP5" s="368" t="s">
        <v>7</v>
      </c>
      <c r="AQ5" s="369"/>
      <c r="AR5" s="369"/>
      <c r="AS5" s="370"/>
      <c r="AT5" s="356" t="s">
        <v>12</v>
      </c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8"/>
      <c r="BF5" s="313" t="s">
        <v>8</v>
      </c>
      <c r="BG5" s="317"/>
      <c r="BH5" s="312"/>
      <c r="BI5" s="243"/>
      <c r="BJ5" s="368" t="s">
        <v>7</v>
      </c>
      <c r="BK5" s="369"/>
      <c r="BL5" s="369"/>
      <c r="BM5" s="370"/>
      <c r="BN5" s="356" t="s">
        <v>12</v>
      </c>
      <c r="BO5" s="357"/>
      <c r="BP5" s="357"/>
      <c r="BQ5" s="357"/>
      <c r="BR5" s="357"/>
      <c r="BS5" s="357"/>
      <c r="BT5" s="357"/>
      <c r="BU5" s="357"/>
      <c r="BV5" s="357"/>
      <c r="BW5" s="357"/>
      <c r="BX5" s="357"/>
      <c r="BY5" s="358"/>
      <c r="BZ5" s="313" t="s">
        <v>8</v>
      </c>
      <c r="CA5" s="317"/>
      <c r="CB5" s="242"/>
      <c r="CC5" s="312"/>
      <c r="CD5" s="356" t="s">
        <v>7</v>
      </c>
      <c r="CE5" s="357"/>
      <c r="CF5" s="357"/>
      <c r="CG5" s="358"/>
      <c r="CH5" s="356" t="s">
        <v>12</v>
      </c>
      <c r="CI5" s="357"/>
      <c r="CJ5" s="357"/>
      <c r="CK5" s="357"/>
      <c r="CL5" s="357"/>
      <c r="CM5" s="357"/>
      <c r="CN5" s="357"/>
      <c r="CO5" s="357"/>
      <c r="CP5" s="357"/>
      <c r="CQ5" s="357"/>
      <c r="CR5" s="357"/>
      <c r="CS5" s="358"/>
      <c r="CT5" s="313" t="s">
        <v>8</v>
      </c>
      <c r="CU5" s="314"/>
      <c r="CV5" s="83"/>
      <c r="CW5" s="368" t="s">
        <v>7</v>
      </c>
      <c r="CX5" s="369"/>
      <c r="CY5" s="369"/>
      <c r="CZ5" s="370"/>
      <c r="DA5" s="356" t="s">
        <v>12</v>
      </c>
      <c r="DB5" s="357"/>
      <c r="DC5" s="357"/>
      <c r="DD5" s="357"/>
      <c r="DE5" s="357"/>
      <c r="DF5" s="357"/>
      <c r="DG5" s="357"/>
      <c r="DH5" s="357"/>
      <c r="DI5" s="357"/>
      <c r="DJ5" s="357"/>
      <c r="DK5" s="357"/>
      <c r="DL5" s="358"/>
      <c r="DM5" s="313" t="s">
        <v>8</v>
      </c>
      <c r="DN5" s="317"/>
      <c r="DO5" s="242"/>
      <c r="DP5" s="312"/>
      <c r="DQ5" s="356" t="s">
        <v>7</v>
      </c>
      <c r="DR5" s="357"/>
      <c r="DS5" s="357"/>
      <c r="DT5" s="358"/>
      <c r="DU5" s="356" t="s">
        <v>12</v>
      </c>
      <c r="DV5" s="357"/>
      <c r="DW5" s="357"/>
      <c r="DX5" s="357"/>
      <c r="DY5" s="357"/>
      <c r="DZ5" s="357"/>
      <c r="EA5" s="357"/>
      <c r="EB5" s="357"/>
      <c r="EC5" s="357"/>
      <c r="ED5" s="357"/>
      <c r="EE5" s="357"/>
      <c r="EF5" s="358"/>
      <c r="EG5" s="313" t="s">
        <v>8</v>
      </c>
      <c r="EH5" s="317"/>
      <c r="EI5" s="83"/>
      <c r="EJ5" s="368" t="s">
        <v>7</v>
      </c>
      <c r="EK5" s="369"/>
      <c r="EL5" s="369"/>
      <c r="EM5" s="370"/>
      <c r="EN5" s="356" t="s">
        <v>12</v>
      </c>
      <c r="EO5" s="357"/>
      <c r="EP5" s="357"/>
      <c r="EQ5" s="357"/>
      <c r="ER5" s="357"/>
      <c r="ES5" s="357"/>
      <c r="ET5" s="357"/>
      <c r="EU5" s="357"/>
      <c r="EV5" s="357"/>
      <c r="EW5" s="357"/>
      <c r="EX5" s="357"/>
      <c r="EY5" s="358"/>
      <c r="EZ5" s="313" t="s">
        <v>8</v>
      </c>
      <c r="FA5" s="317"/>
      <c r="FB5" s="312"/>
      <c r="FC5" s="356" t="s">
        <v>7</v>
      </c>
      <c r="FD5" s="357"/>
      <c r="FE5" s="357"/>
      <c r="FF5" s="358"/>
      <c r="FG5" s="356" t="s">
        <v>12</v>
      </c>
      <c r="FH5" s="357"/>
      <c r="FI5" s="357"/>
      <c r="FJ5" s="357"/>
      <c r="FK5" s="357"/>
      <c r="FL5" s="357"/>
      <c r="FM5" s="357"/>
      <c r="FN5" s="357"/>
      <c r="FO5" s="357"/>
      <c r="FP5" s="357"/>
      <c r="FQ5" s="357"/>
      <c r="FR5" s="358"/>
      <c r="FS5" s="313" t="s">
        <v>8</v>
      </c>
      <c r="FT5" s="317"/>
    </row>
    <row r="6" spans="1:176" ht="11.25">
      <c r="A6" s="316"/>
      <c r="B6" s="391"/>
      <c r="C6" s="382"/>
      <c r="D6" s="382"/>
      <c r="E6" s="382"/>
      <c r="F6" s="382"/>
      <c r="G6" s="314" t="s">
        <v>17</v>
      </c>
      <c r="H6" s="362"/>
      <c r="I6" s="362"/>
      <c r="J6" s="322"/>
      <c r="K6" s="314" t="s">
        <v>18</v>
      </c>
      <c r="L6" s="362"/>
      <c r="M6" s="362"/>
      <c r="N6" s="322"/>
      <c r="O6" s="392" t="s">
        <v>19</v>
      </c>
      <c r="P6" s="393"/>
      <c r="Q6" s="393"/>
      <c r="R6" s="394"/>
      <c r="S6" s="313"/>
      <c r="T6" s="317"/>
      <c r="U6" s="312"/>
      <c r="V6" s="371"/>
      <c r="W6" s="372"/>
      <c r="X6" s="372"/>
      <c r="Y6" s="373"/>
      <c r="Z6" s="313" t="s">
        <v>17</v>
      </c>
      <c r="AA6" s="313"/>
      <c r="AB6" s="313"/>
      <c r="AC6" s="313"/>
      <c r="AD6" s="314" t="s">
        <v>18</v>
      </c>
      <c r="AE6" s="362"/>
      <c r="AF6" s="362"/>
      <c r="AG6" s="322"/>
      <c r="AH6" s="314" t="s">
        <v>19</v>
      </c>
      <c r="AI6" s="362"/>
      <c r="AJ6" s="362"/>
      <c r="AK6" s="322"/>
      <c r="AL6" s="313"/>
      <c r="AM6" s="317"/>
      <c r="AN6" s="242"/>
      <c r="AO6" s="312"/>
      <c r="AP6" s="371"/>
      <c r="AQ6" s="372"/>
      <c r="AR6" s="372"/>
      <c r="AS6" s="373"/>
      <c r="AT6" s="313" t="s">
        <v>17</v>
      </c>
      <c r="AU6" s="313"/>
      <c r="AV6" s="313"/>
      <c r="AW6" s="313"/>
      <c r="AX6" s="314" t="s">
        <v>18</v>
      </c>
      <c r="AY6" s="362"/>
      <c r="AZ6" s="362"/>
      <c r="BA6" s="322"/>
      <c r="BB6" s="314" t="s">
        <v>19</v>
      </c>
      <c r="BC6" s="362"/>
      <c r="BD6" s="362"/>
      <c r="BE6" s="322"/>
      <c r="BF6" s="313"/>
      <c r="BG6" s="317"/>
      <c r="BH6" s="312"/>
      <c r="BI6" s="244"/>
      <c r="BJ6" s="371"/>
      <c r="BK6" s="372"/>
      <c r="BL6" s="372"/>
      <c r="BM6" s="373"/>
      <c r="BN6" s="313" t="s">
        <v>17</v>
      </c>
      <c r="BO6" s="313"/>
      <c r="BP6" s="313"/>
      <c r="BQ6" s="313"/>
      <c r="BR6" s="314" t="s">
        <v>18</v>
      </c>
      <c r="BS6" s="362"/>
      <c r="BT6" s="362"/>
      <c r="BU6" s="322"/>
      <c r="BV6" s="314" t="s">
        <v>19</v>
      </c>
      <c r="BW6" s="362"/>
      <c r="BX6" s="362"/>
      <c r="BY6" s="322"/>
      <c r="BZ6" s="313"/>
      <c r="CA6" s="317"/>
      <c r="CB6" s="242"/>
      <c r="CC6" s="312"/>
      <c r="CD6" s="359"/>
      <c r="CE6" s="360"/>
      <c r="CF6" s="360"/>
      <c r="CG6" s="361"/>
      <c r="CH6" s="313" t="s">
        <v>17</v>
      </c>
      <c r="CI6" s="313"/>
      <c r="CJ6" s="313"/>
      <c r="CK6" s="313"/>
      <c r="CL6" s="314" t="s">
        <v>18</v>
      </c>
      <c r="CM6" s="362"/>
      <c r="CN6" s="362"/>
      <c r="CO6" s="322"/>
      <c r="CP6" s="314" t="s">
        <v>19</v>
      </c>
      <c r="CQ6" s="362"/>
      <c r="CR6" s="362"/>
      <c r="CS6" s="322"/>
      <c r="CT6" s="313"/>
      <c r="CU6" s="314"/>
      <c r="CV6" s="84"/>
      <c r="CW6" s="371"/>
      <c r="CX6" s="372"/>
      <c r="CY6" s="372"/>
      <c r="CZ6" s="373"/>
      <c r="DA6" s="313" t="s">
        <v>17</v>
      </c>
      <c r="DB6" s="313"/>
      <c r="DC6" s="313"/>
      <c r="DD6" s="313"/>
      <c r="DE6" s="314" t="s">
        <v>18</v>
      </c>
      <c r="DF6" s="362"/>
      <c r="DG6" s="362"/>
      <c r="DH6" s="322"/>
      <c r="DI6" s="314" t="s">
        <v>19</v>
      </c>
      <c r="DJ6" s="362"/>
      <c r="DK6" s="362"/>
      <c r="DL6" s="322"/>
      <c r="DM6" s="313"/>
      <c r="DN6" s="317"/>
      <c r="DO6" s="242"/>
      <c r="DP6" s="312"/>
      <c r="DQ6" s="359"/>
      <c r="DR6" s="360"/>
      <c r="DS6" s="360"/>
      <c r="DT6" s="361"/>
      <c r="DU6" s="313" t="s">
        <v>17</v>
      </c>
      <c r="DV6" s="313"/>
      <c r="DW6" s="313"/>
      <c r="DX6" s="313"/>
      <c r="DY6" s="314" t="s">
        <v>18</v>
      </c>
      <c r="DZ6" s="362"/>
      <c r="EA6" s="362"/>
      <c r="EB6" s="322"/>
      <c r="EC6" s="314" t="s">
        <v>19</v>
      </c>
      <c r="ED6" s="362"/>
      <c r="EE6" s="362"/>
      <c r="EF6" s="322"/>
      <c r="EG6" s="313"/>
      <c r="EH6" s="317"/>
      <c r="EI6" s="84"/>
      <c r="EJ6" s="371"/>
      <c r="EK6" s="372"/>
      <c r="EL6" s="372"/>
      <c r="EM6" s="373"/>
      <c r="EN6" s="313" t="s">
        <v>17</v>
      </c>
      <c r="EO6" s="313"/>
      <c r="EP6" s="313"/>
      <c r="EQ6" s="313"/>
      <c r="ER6" s="314" t="s">
        <v>18</v>
      </c>
      <c r="ES6" s="362"/>
      <c r="ET6" s="362"/>
      <c r="EU6" s="322"/>
      <c r="EV6" s="314" t="s">
        <v>19</v>
      </c>
      <c r="EW6" s="362"/>
      <c r="EX6" s="362"/>
      <c r="EY6" s="322"/>
      <c r="EZ6" s="313"/>
      <c r="FA6" s="317"/>
      <c r="FB6" s="312"/>
      <c r="FC6" s="359"/>
      <c r="FD6" s="360"/>
      <c r="FE6" s="360"/>
      <c r="FF6" s="361"/>
      <c r="FG6" s="313" t="s">
        <v>17</v>
      </c>
      <c r="FH6" s="313"/>
      <c r="FI6" s="313"/>
      <c r="FJ6" s="313"/>
      <c r="FK6" s="314" t="s">
        <v>18</v>
      </c>
      <c r="FL6" s="362"/>
      <c r="FM6" s="362"/>
      <c r="FN6" s="322"/>
      <c r="FO6" s="314" t="s">
        <v>19</v>
      </c>
      <c r="FP6" s="362"/>
      <c r="FQ6" s="362"/>
      <c r="FR6" s="322"/>
      <c r="FS6" s="313"/>
      <c r="FT6" s="317"/>
    </row>
    <row r="7" spans="1:176" ht="101.25">
      <c r="A7" s="54"/>
      <c r="B7" s="246"/>
      <c r="C7" s="260" t="s">
        <v>54</v>
      </c>
      <c r="D7" s="260" t="s">
        <v>39</v>
      </c>
      <c r="E7" s="260" t="s">
        <v>55</v>
      </c>
      <c r="F7" s="260" t="s">
        <v>40</v>
      </c>
      <c r="G7" s="261" t="s">
        <v>54</v>
      </c>
      <c r="H7" s="261" t="s">
        <v>39</v>
      </c>
      <c r="I7" s="261" t="s">
        <v>55</v>
      </c>
      <c r="J7" s="261" t="s">
        <v>40</v>
      </c>
      <c r="K7" s="261" t="s">
        <v>54</v>
      </c>
      <c r="L7" s="261" t="s">
        <v>39</v>
      </c>
      <c r="M7" s="261" t="s">
        <v>54</v>
      </c>
      <c r="N7" s="261" t="s">
        <v>40</v>
      </c>
      <c r="O7" s="260" t="s">
        <v>54</v>
      </c>
      <c r="P7" s="260" t="s">
        <v>39</v>
      </c>
      <c r="Q7" s="260" t="s">
        <v>55</v>
      </c>
      <c r="R7" s="260" t="s">
        <v>40</v>
      </c>
      <c r="S7" s="262" t="s">
        <v>39</v>
      </c>
      <c r="T7" s="263" t="s">
        <v>40</v>
      </c>
      <c r="U7" s="264"/>
      <c r="V7" s="260" t="s">
        <v>41</v>
      </c>
      <c r="W7" s="260" t="s">
        <v>39</v>
      </c>
      <c r="X7" s="260" t="s">
        <v>42</v>
      </c>
      <c r="Y7" s="260" t="s">
        <v>40</v>
      </c>
      <c r="Z7" s="261" t="s">
        <v>54</v>
      </c>
      <c r="AA7" s="261" t="s">
        <v>39</v>
      </c>
      <c r="AB7" s="261" t="s">
        <v>55</v>
      </c>
      <c r="AC7" s="261" t="s">
        <v>40</v>
      </c>
      <c r="AD7" s="261" t="s">
        <v>54</v>
      </c>
      <c r="AE7" s="261" t="s">
        <v>39</v>
      </c>
      <c r="AF7" s="261" t="s">
        <v>54</v>
      </c>
      <c r="AG7" s="261" t="s">
        <v>40</v>
      </c>
      <c r="AH7" s="260" t="s">
        <v>54</v>
      </c>
      <c r="AI7" s="260" t="s">
        <v>39</v>
      </c>
      <c r="AJ7" s="260" t="s">
        <v>55</v>
      </c>
      <c r="AK7" s="260" t="s">
        <v>40</v>
      </c>
      <c r="AL7" s="262" t="s">
        <v>39</v>
      </c>
      <c r="AM7" s="263" t="s">
        <v>40</v>
      </c>
      <c r="AN7" s="265"/>
      <c r="AO7" s="264"/>
      <c r="AP7" s="260" t="s">
        <v>41</v>
      </c>
      <c r="AQ7" s="260" t="s">
        <v>39</v>
      </c>
      <c r="AR7" s="260" t="s">
        <v>42</v>
      </c>
      <c r="AS7" s="260" t="s">
        <v>40</v>
      </c>
      <c r="AT7" s="261" t="s">
        <v>41</v>
      </c>
      <c r="AU7" s="261" t="s">
        <v>39</v>
      </c>
      <c r="AV7" s="261" t="s">
        <v>42</v>
      </c>
      <c r="AW7" s="261" t="s">
        <v>40</v>
      </c>
      <c r="AX7" s="261" t="s">
        <v>41</v>
      </c>
      <c r="AY7" s="261" t="s">
        <v>39</v>
      </c>
      <c r="AZ7" s="261" t="s">
        <v>42</v>
      </c>
      <c r="BA7" s="261" t="s">
        <v>40</v>
      </c>
      <c r="BB7" s="261" t="s">
        <v>42</v>
      </c>
      <c r="BC7" s="261" t="s">
        <v>39</v>
      </c>
      <c r="BD7" s="261" t="s">
        <v>42</v>
      </c>
      <c r="BE7" s="261" t="s">
        <v>40</v>
      </c>
      <c r="BF7" s="262" t="s">
        <v>39</v>
      </c>
      <c r="BG7" s="263" t="s">
        <v>40</v>
      </c>
      <c r="BH7" s="264"/>
      <c r="BI7" s="266"/>
      <c r="BJ7" s="260" t="s">
        <v>54</v>
      </c>
      <c r="BK7" s="260" t="s">
        <v>39</v>
      </c>
      <c r="BL7" s="260" t="s">
        <v>55</v>
      </c>
      <c r="BM7" s="260" t="s">
        <v>40</v>
      </c>
      <c r="BN7" s="261" t="s">
        <v>54</v>
      </c>
      <c r="BO7" s="261" t="s">
        <v>39</v>
      </c>
      <c r="BP7" s="261" t="s">
        <v>55</v>
      </c>
      <c r="BQ7" s="261" t="s">
        <v>40</v>
      </c>
      <c r="BR7" s="261" t="s">
        <v>54</v>
      </c>
      <c r="BS7" s="261" t="s">
        <v>39</v>
      </c>
      <c r="BT7" s="261" t="s">
        <v>54</v>
      </c>
      <c r="BU7" s="261" t="s">
        <v>40</v>
      </c>
      <c r="BV7" s="260" t="s">
        <v>54</v>
      </c>
      <c r="BW7" s="260" t="s">
        <v>39</v>
      </c>
      <c r="BX7" s="260" t="s">
        <v>55</v>
      </c>
      <c r="BY7" s="260" t="s">
        <v>40</v>
      </c>
      <c r="BZ7" s="239" t="s">
        <v>39</v>
      </c>
      <c r="CA7" s="241" t="s">
        <v>40</v>
      </c>
      <c r="CB7" s="242"/>
      <c r="CC7" s="238"/>
      <c r="CD7" s="248" t="s">
        <v>41</v>
      </c>
      <c r="CE7" s="248" t="s">
        <v>39</v>
      </c>
      <c r="CF7" s="248" t="s">
        <v>42</v>
      </c>
      <c r="CG7" s="248" t="s">
        <v>40</v>
      </c>
      <c r="CH7" s="248" t="s">
        <v>41</v>
      </c>
      <c r="CI7" s="248" t="s">
        <v>39</v>
      </c>
      <c r="CJ7" s="248" t="s">
        <v>42</v>
      </c>
      <c r="CK7" s="248" t="s">
        <v>40</v>
      </c>
      <c r="CL7" s="248" t="s">
        <v>41</v>
      </c>
      <c r="CM7" s="248" t="s">
        <v>39</v>
      </c>
      <c r="CN7" s="248" t="s">
        <v>42</v>
      </c>
      <c r="CO7" s="248" t="s">
        <v>40</v>
      </c>
      <c r="CP7" s="248" t="s">
        <v>42</v>
      </c>
      <c r="CQ7" s="248" t="s">
        <v>39</v>
      </c>
      <c r="CR7" s="248" t="s">
        <v>42</v>
      </c>
      <c r="CS7" s="248" t="s">
        <v>40</v>
      </c>
      <c r="CT7" s="239" t="s">
        <v>39</v>
      </c>
      <c r="CU7" s="240" t="s">
        <v>40</v>
      </c>
      <c r="CV7" s="249"/>
      <c r="CW7" s="267" t="s">
        <v>54</v>
      </c>
      <c r="CX7" s="267" t="s">
        <v>39</v>
      </c>
      <c r="CY7" s="267" t="s">
        <v>55</v>
      </c>
      <c r="CZ7" s="267" t="s">
        <v>40</v>
      </c>
      <c r="DA7" s="268" t="s">
        <v>54</v>
      </c>
      <c r="DB7" s="268" t="s">
        <v>39</v>
      </c>
      <c r="DC7" s="268" t="s">
        <v>55</v>
      </c>
      <c r="DD7" s="268" t="s">
        <v>40</v>
      </c>
      <c r="DE7" s="268" t="s">
        <v>54</v>
      </c>
      <c r="DF7" s="268" t="s">
        <v>39</v>
      </c>
      <c r="DG7" s="268" t="s">
        <v>54</v>
      </c>
      <c r="DH7" s="268" t="s">
        <v>40</v>
      </c>
      <c r="DI7" s="267" t="s">
        <v>54</v>
      </c>
      <c r="DJ7" s="267" t="s">
        <v>39</v>
      </c>
      <c r="DK7" s="267" t="s">
        <v>55</v>
      </c>
      <c r="DL7" s="267" t="s">
        <v>40</v>
      </c>
      <c r="DM7" s="269" t="s">
        <v>39</v>
      </c>
      <c r="DN7" s="270" t="s">
        <v>40</v>
      </c>
      <c r="DO7" s="271"/>
      <c r="DP7" s="272"/>
      <c r="DQ7" s="268" t="s">
        <v>41</v>
      </c>
      <c r="DR7" s="268" t="s">
        <v>39</v>
      </c>
      <c r="DS7" s="268" t="s">
        <v>42</v>
      </c>
      <c r="DT7" s="268" t="s">
        <v>40</v>
      </c>
      <c r="DU7" s="268" t="s">
        <v>54</v>
      </c>
      <c r="DV7" s="268" t="s">
        <v>39</v>
      </c>
      <c r="DW7" s="268" t="s">
        <v>55</v>
      </c>
      <c r="DX7" s="268" t="s">
        <v>40</v>
      </c>
      <c r="DY7" s="268" t="s">
        <v>54</v>
      </c>
      <c r="DZ7" s="268" t="s">
        <v>39</v>
      </c>
      <c r="EA7" s="268" t="s">
        <v>54</v>
      </c>
      <c r="EB7" s="268" t="s">
        <v>40</v>
      </c>
      <c r="EC7" s="267" t="s">
        <v>54</v>
      </c>
      <c r="ED7" s="267" t="s">
        <v>39</v>
      </c>
      <c r="EE7" s="267" t="s">
        <v>55</v>
      </c>
      <c r="EF7" s="267" t="s">
        <v>40</v>
      </c>
      <c r="EG7" s="269" t="s">
        <v>39</v>
      </c>
      <c r="EH7" s="270" t="s">
        <v>40</v>
      </c>
      <c r="EI7" s="273"/>
      <c r="EJ7" s="267" t="s">
        <v>54</v>
      </c>
      <c r="EK7" s="267" t="s">
        <v>39</v>
      </c>
      <c r="EL7" s="267" t="s">
        <v>55</v>
      </c>
      <c r="EM7" s="267" t="s">
        <v>40</v>
      </c>
      <c r="EN7" s="268" t="s">
        <v>54</v>
      </c>
      <c r="EO7" s="268" t="s">
        <v>56</v>
      </c>
      <c r="EP7" s="268" t="s">
        <v>55</v>
      </c>
      <c r="EQ7" s="268" t="s">
        <v>40</v>
      </c>
      <c r="ER7" s="268" t="s">
        <v>54</v>
      </c>
      <c r="ES7" s="268" t="s">
        <v>39</v>
      </c>
      <c r="ET7" s="268" t="s">
        <v>54</v>
      </c>
      <c r="EU7" s="268" t="s">
        <v>40</v>
      </c>
      <c r="EV7" s="267" t="s">
        <v>54</v>
      </c>
      <c r="EW7" s="267" t="s">
        <v>39</v>
      </c>
      <c r="EX7" s="267" t="s">
        <v>55</v>
      </c>
      <c r="EY7" s="267" t="s">
        <v>40</v>
      </c>
      <c r="EZ7" s="269" t="s">
        <v>39</v>
      </c>
      <c r="FA7" s="270" t="s">
        <v>40</v>
      </c>
      <c r="FB7" s="272"/>
      <c r="FC7" s="268" t="s">
        <v>41</v>
      </c>
      <c r="FD7" s="268" t="s">
        <v>39</v>
      </c>
      <c r="FE7" s="268" t="s">
        <v>42</v>
      </c>
      <c r="FF7" s="268" t="s">
        <v>40</v>
      </c>
      <c r="FG7" s="268" t="s">
        <v>54</v>
      </c>
      <c r="FH7" s="268" t="s">
        <v>39</v>
      </c>
      <c r="FI7" s="268" t="s">
        <v>55</v>
      </c>
      <c r="FJ7" s="268" t="s">
        <v>40</v>
      </c>
      <c r="FK7" s="268" t="s">
        <v>54</v>
      </c>
      <c r="FL7" s="268" t="s">
        <v>39</v>
      </c>
      <c r="FM7" s="268" t="s">
        <v>54</v>
      </c>
      <c r="FN7" s="268" t="s">
        <v>40</v>
      </c>
      <c r="FO7" s="267" t="s">
        <v>54</v>
      </c>
      <c r="FP7" s="267" t="s">
        <v>39</v>
      </c>
      <c r="FQ7" s="267" t="s">
        <v>55</v>
      </c>
      <c r="FR7" s="267" t="s">
        <v>40</v>
      </c>
      <c r="FS7" s="269" t="s">
        <v>39</v>
      </c>
      <c r="FT7" s="270" t="s">
        <v>40</v>
      </c>
    </row>
    <row r="8" spans="1:176" ht="21.75" customHeight="1">
      <c r="A8" s="55" t="s">
        <v>0</v>
      </c>
      <c r="B8" s="13" t="s">
        <v>20</v>
      </c>
      <c r="C8" s="121">
        <f>G8+K8+O8</f>
        <v>262</v>
      </c>
      <c r="D8" s="179">
        <f>H8+L8+P8</f>
        <v>374.42500000000007</v>
      </c>
      <c r="E8" s="121">
        <f>I8+M8+Q8</f>
        <v>77</v>
      </c>
      <c r="F8" s="121">
        <f>J8+N8+R8</f>
        <v>105.075</v>
      </c>
      <c r="G8" s="121">
        <f aca="true" t="shared" si="0" ref="G8:R8">SUM(G9:G32)</f>
        <v>240</v>
      </c>
      <c r="H8" s="179">
        <f t="shared" si="0"/>
        <v>153.149</v>
      </c>
      <c r="I8" s="121">
        <f t="shared" si="0"/>
        <v>62</v>
      </c>
      <c r="J8" s="179">
        <f t="shared" si="0"/>
        <v>23.612999999999996</v>
      </c>
      <c r="K8" s="121">
        <f t="shared" si="0"/>
        <v>21</v>
      </c>
      <c r="L8" s="179">
        <f t="shared" si="0"/>
        <v>188.27600000000004</v>
      </c>
      <c r="M8" s="121">
        <f t="shared" si="0"/>
        <v>14</v>
      </c>
      <c r="N8" s="179">
        <f t="shared" si="0"/>
        <v>81.39</v>
      </c>
      <c r="O8" s="121">
        <f t="shared" si="0"/>
        <v>1</v>
      </c>
      <c r="P8" s="179">
        <f t="shared" si="0"/>
        <v>33</v>
      </c>
      <c r="Q8" s="121">
        <f t="shared" si="0"/>
        <v>1</v>
      </c>
      <c r="R8" s="179">
        <f t="shared" si="0"/>
        <v>0.072</v>
      </c>
      <c r="S8" s="180" t="s">
        <v>20</v>
      </c>
      <c r="T8" s="181" t="s">
        <v>20</v>
      </c>
      <c r="U8" s="182" t="s">
        <v>20</v>
      </c>
      <c r="V8" s="121">
        <f aca="true" t="shared" si="1" ref="V8:AK8">SUM(V9:V32)</f>
        <v>240</v>
      </c>
      <c r="W8" s="179">
        <f t="shared" si="1"/>
        <v>277.897</v>
      </c>
      <c r="X8" s="121">
        <f t="shared" si="1"/>
        <v>69</v>
      </c>
      <c r="Y8" s="121">
        <f t="shared" si="1"/>
        <v>140.451</v>
      </c>
      <c r="Z8" s="121">
        <f t="shared" si="1"/>
        <v>223</v>
      </c>
      <c r="AA8" s="179">
        <f t="shared" si="1"/>
        <v>153.536</v>
      </c>
      <c r="AB8" s="121">
        <f t="shared" si="1"/>
        <v>54</v>
      </c>
      <c r="AC8" s="121">
        <f t="shared" si="1"/>
        <v>107.19800000000001</v>
      </c>
      <c r="AD8" s="121">
        <f t="shared" si="1"/>
        <v>16</v>
      </c>
      <c r="AE8" s="179">
        <f t="shared" si="1"/>
        <v>84.36100000000002</v>
      </c>
      <c r="AF8" s="121">
        <f t="shared" si="1"/>
        <v>15</v>
      </c>
      <c r="AG8" s="179">
        <f t="shared" si="1"/>
        <v>33.253</v>
      </c>
      <c r="AH8" s="121">
        <f t="shared" si="1"/>
        <v>1</v>
      </c>
      <c r="AI8" s="179">
        <f t="shared" si="1"/>
        <v>40</v>
      </c>
      <c r="AJ8" s="121">
        <f t="shared" si="1"/>
        <v>0</v>
      </c>
      <c r="AK8" s="179">
        <f t="shared" si="1"/>
        <v>0</v>
      </c>
      <c r="AL8" s="180" t="s">
        <v>20</v>
      </c>
      <c r="AM8" s="181" t="s">
        <v>20</v>
      </c>
      <c r="AN8" s="183" t="s">
        <v>0</v>
      </c>
      <c r="AO8" s="182" t="s">
        <v>20</v>
      </c>
      <c r="AP8" s="121">
        <f aca="true" t="shared" si="2" ref="AP8:BD9">V8/C8*100</f>
        <v>91.6030534351145</v>
      </c>
      <c r="AQ8" s="121">
        <f t="shared" si="2"/>
        <v>74.21967016091338</v>
      </c>
      <c r="AR8" s="121">
        <f t="shared" si="2"/>
        <v>89.6103896103896</v>
      </c>
      <c r="AS8" s="121">
        <f t="shared" si="2"/>
        <v>133.66738044254103</v>
      </c>
      <c r="AT8" s="121">
        <f t="shared" si="2"/>
        <v>92.91666666666667</v>
      </c>
      <c r="AU8" s="121">
        <f t="shared" si="2"/>
        <v>100.25269508779031</v>
      </c>
      <c r="AV8" s="121">
        <f t="shared" si="2"/>
        <v>87.09677419354838</v>
      </c>
      <c r="AW8" s="121">
        <f t="shared" si="2"/>
        <v>453.9787405242876</v>
      </c>
      <c r="AX8" s="121">
        <f t="shared" si="2"/>
        <v>76.19047619047619</v>
      </c>
      <c r="AY8" s="121">
        <f t="shared" si="2"/>
        <v>44.80709171641632</v>
      </c>
      <c r="AZ8" s="121">
        <f t="shared" si="2"/>
        <v>107.14285714285714</v>
      </c>
      <c r="BA8" s="121">
        <f t="shared" si="2"/>
        <v>40.856370561494046</v>
      </c>
      <c r="BB8" s="121">
        <f t="shared" si="2"/>
        <v>100</v>
      </c>
      <c r="BC8" s="121">
        <f t="shared" si="2"/>
        <v>121.21212121212122</v>
      </c>
      <c r="BD8" s="121">
        <f t="shared" si="2"/>
        <v>0</v>
      </c>
      <c r="BE8" s="121">
        <f>AK8/Q8*100</f>
        <v>0</v>
      </c>
      <c r="BF8" s="121" t="e">
        <f>AL8/S8*100</f>
        <v>#VALUE!</v>
      </c>
      <c r="BG8" s="166" t="e">
        <f>AM8/S8*100</f>
        <v>#VALUE!</v>
      </c>
      <c r="BH8" s="182" t="s">
        <v>20</v>
      </c>
      <c r="BI8" s="183" t="s">
        <v>0</v>
      </c>
      <c r="BJ8" s="121">
        <f aca="true" t="shared" si="3" ref="BJ8:BY8">SUM(BJ9:BJ32)</f>
        <v>236</v>
      </c>
      <c r="BK8" s="179">
        <f t="shared" si="3"/>
        <v>577.3480000000001</v>
      </c>
      <c r="BL8" s="121">
        <f t="shared" si="3"/>
        <v>69</v>
      </c>
      <c r="BM8" s="179">
        <f t="shared" si="3"/>
        <v>172.264</v>
      </c>
      <c r="BN8" s="121">
        <f t="shared" si="3"/>
        <v>219</v>
      </c>
      <c r="BO8" s="179">
        <f t="shared" si="3"/>
        <v>216.425</v>
      </c>
      <c r="BP8" s="121">
        <f t="shared" si="3"/>
        <v>56</v>
      </c>
      <c r="BQ8" s="179">
        <f t="shared" si="3"/>
        <v>57.413999999999994</v>
      </c>
      <c r="BR8" s="121">
        <f t="shared" si="3"/>
        <v>17</v>
      </c>
      <c r="BS8" s="179">
        <f t="shared" si="3"/>
        <v>360.92300000000006</v>
      </c>
      <c r="BT8" s="121">
        <f t="shared" si="3"/>
        <v>12</v>
      </c>
      <c r="BU8" s="179">
        <f t="shared" si="3"/>
        <v>91.95</v>
      </c>
      <c r="BV8" s="121">
        <f t="shared" si="3"/>
        <v>0</v>
      </c>
      <c r="BW8" s="179">
        <f t="shared" si="3"/>
        <v>0</v>
      </c>
      <c r="BX8" s="121">
        <f t="shared" si="3"/>
        <v>1</v>
      </c>
      <c r="BY8" s="179">
        <f t="shared" si="3"/>
        <v>22.9</v>
      </c>
      <c r="BZ8" s="180" t="s">
        <v>20</v>
      </c>
      <c r="CA8" s="181" t="s">
        <v>20</v>
      </c>
      <c r="CB8" s="183" t="s">
        <v>0</v>
      </c>
      <c r="CC8" s="182" t="s">
        <v>20</v>
      </c>
      <c r="CD8" s="121">
        <f>BJ8/V8*100</f>
        <v>98.33333333333333</v>
      </c>
      <c r="CE8" s="121">
        <f aca="true" t="shared" si="4" ref="CE8:CS8">BK8/W8*100</f>
        <v>207.75611107712572</v>
      </c>
      <c r="CF8" s="121">
        <f t="shared" si="4"/>
        <v>100</v>
      </c>
      <c r="CG8" s="121">
        <f t="shared" si="4"/>
        <v>122.65060412528214</v>
      </c>
      <c r="CH8" s="121">
        <f t="shared" si="4"/>
        <v>98.20627802690582</v>
      </c>
      <c r="CI8" s="121">
        <f t="shared" si="4"/>
        <v>140.96042621925804</v>
      </c>
      <c r="CJ8" s="121">
        <f t="shared" si="4"/>
        <v>103.7037037037037</v>
      </c>
      <c r="CK8" s="121">
        <f t="shared" si="4"/>
        <v>53.558835052892775</v>
      </c>
      <c r="CL8" s="121">
        <f t="shared" si="4"/>
        <v>106.25</v>
      </c>
      <c r="CM8" s="121">
        <f t="shared" si="4"/>
        <v>427.831580943801</v>
      </c>
      <c r="CN8" s="121">
        <f t="shared" si="4"/>
        <v>80</v>
      </c>
      <c r="CO8" s="121">
        <f t="shared" si="4"/>
        <v>276.51640453492917</v>
      </c>
      <c r="CP8" s="121">
        <f t="shared" si="4"/>
        <v>0</v>
      </c>
      <c r="CQ8" s="121">
        <f t="shared" si="4"/>
        <v>0</v>
      </c>
      <c r="CR8" s="121" t="e">
        <f t="shared" si="4"/>
        <v>#DIV/0!</v>
      </c>
      <c r="CS8" s="121" t="e">
        <f t="shared" si="4"/>
        <v>#DIV/0!</v>
      </c>
      <c r="CT8" s="121"/>
      <c r="CU8" s="184"/>
      <c r="CV8" s="185" t="s">
        <v>0</v>
      </c>
      <c r="CW8" s="121">
        <f aca="true" t="shared" si="5" ref="CW8:DL8">SUM(CW9:CW32)</f>
        <v>237</v>
      </c>
      <c r="CX8" s="179">
        <f t="shared" si="5"/>
        <v>484.7730000000001</v>
      </c>
      <c r="CY8" s="121">
        <f t="shared" si="5"/>
        <v>66</v>
      </c>
      <c r="CZ8" s="179">
        <f t="shared" si="5"/>
        <v>74.82300000000001</v>
      </c>
      <c r="DA8" s="121">
        <f t="shared" si="5"/>
        <v>216</v>
      </c>
      <c r="DB8" s="179">
        <f t="shared" si="5"/>
        <v>172.806</v>
      </c>
      <c r="DC8" s="121">
        <f t="shared" si="5"/>
        <v>57</v>
      </c>
      <c r="DD8" s="179">
        <f t="shared" si="5"/>
        <v>49.282999999999994</v>
      </c>
      <c r="DE8" s="121">
        <f t="shared" si="5"/>
        <v>20</v>
      </c>
      <c r="DF8" s="179">
        <f t="shared" si="5"/>
        <v>264.26699999999994</v>
      </c>
      <c r="DG8" s="121">
        <f t="shared" si="5"/>
        <v>9</v>
      </c>
      <c r="DH8" s="179">
        <f t="shared" si="5"/>
        <v>25.54</v>
      </c>
      <c r="DI8" s="121">
        <f t="shared" si="5"/>
        <v>1</v>
      </c>
      <c r="DJ8" s="179">
        <f t="shared" si="5"/>
        <v>47.7</v>
      </c>
      <c r="DK8" s="121">
        <f t="shared" si="5"/>
        <v>0</v>
      </c>
      <c r="DL8" s="179">
        <f t="shared" si="5"/>
        <v>0</v>
      </c>
      <c r="DM8" s="180" t="s">
        <v>20</v>
      </c>
      <c r="DN8" s="181" t="s">
        <v>20</v>
      </c>
      <c r="DO8" s="274" t="s">
        <v>0</v>
      </c>
      <c r="DP8" s="182" t="s">
        <v>20</v>
      </c>
      <c r="DQ8" s="121">
        <f>CW8/BJ8*100</f>
        <v>100.42372881355932</v>
      </c>
      <c r="DR8" s="121">
        <f aca="true" t="shared" si="6" ref="DR8:EH8">CX8/BK8*100</f>
        <v>83.96547662761455</v>
      </c>
      <c r="DS8" s="121">
        <f t="shared" si="6"/>
        <v>95.65217391304348</v>
      </c>
      <c r="DT8" s="121">
        <f t="shared" si="6"/>
        <v>43.43507639437143</v>
      </c>
      <c r="DU8" s="121">
        <f t="shared" si="6"/>
        <v>98.63013698630137</v>
      </c>
      <c r="DV8" s="121">
        <f t="shared" si="6"/>
        <v>79.84567402102346</v>
      </c>
      <c r="DW8" s="121">
        <f t="shared" si="6"/>
        <v>101.78571428571428</v>
      </c>
      <c r="DX8" s="121">
        <f t="shared" si="6"/>
        <v>85.83794893231615</v>
      </c>
      <c r="DY8" s="121">
        <f t="shared" si="6"/>
        <v>117.64705882352942</v>
      </c>
      <c r="DZ8" s="121">
        <f t="shared" si="6"/>
        <v>73.2197726384852</v>
      </c>
      <c r="EA8" s="121">
        <f t="shared" si="6"/>
        <v>75</v>
      </c>
      <c r="EB8" s="121">
        <f t="shared" si="6"/>
        <v>27.775965198477433</v>
      </c>
      <c r="EC8" s="121"/>
      <c r="ED8" s="121"/>
      <c r="EE8" s="121">
        <f t="shared" si="6"/>
        <v>0</v>
      </c>
      <c r="EF8" s="121">
        <f t="shared" si="6"/>
        <v>0</v>
      </c>
      <c r="EG8" s="11" t="e">
        <f t="shared" si="6"/>
        <v>#VALUE!</v>
      </c>
      <c r="EH8" s="11" t="e">
        <f t="shared" si="6"/>
        <v>#VALUE!</v>
      </c>
      <c r="EI8" s="185" t="s">
        <v>0</v>
      </c>
      <c r="EJ8" s="121">
        <f aca="true" t="shared" si="7" ref="EJ8:EY8">SUM(EJ9:EJ32)</f>
        <v>236</v>
      </c>
      <c r="EK8" s="179">
        <f t="shared" si="7"/>
        <v>612.265</v>
      </c>
      <c r="EL8" s="121">
        <f t="shared" si="7"/>
        <v>65</v>
      </c>
      <c r="EM8" s="179">
        <f t="shared" si="7"/>
        <v>125.94500000000002</v>
      </c>
      <c r="EN8" s="121">
        <f t="shared" si="7"/>
        <v>219</v>
      </c>
      <c r="EO8" s="179">
        <f t="shared" si="7"/>
        <v>233.11199999999997</v>
      </c>
      <c r="EP8" s="121">
        <f t="shared" si="7"/>
        <v>57</v>
      </c>
      <c r="EQ8" s="179">
        <f t="shared" si="7"/>
        <v>81.74000000000002</v>
      </c>
      <c r="ER8" s="121">
        <f t="shared" si="7"/>
        <v>16</v>
      </c>
      <c r="ES8" s="179">
        <f t="shared" si="7"/>
        <v>367.68499999999995</v>
      </c>
      <c r="ET8" s="121">
        <f t="shared" si="7"/>
        <v>8</v>
      </c>
      <c r="EU8" s="179">
        <f t="shared" si="7"/>
        <v>44.205</v>
      </c>
      <c r="EV8" s="121">
        <f t="shared" si="7"/>
        <v>1</v>
      </c>
      <c r="EW8" s="179">
        <f t="shared" si="7"/>
        <v>11.468</v>
      </c>
      <c r="EX8" s="121">
        <f t="shared" si="7"/>
        <v>0</v>
      </c>
      <c r="EY8" s="179">
        <f t="shared" si="7"/>
        <v>0</v>
      </c>
      <c r="EZ8" s="180" t="s">
        <v>20</v>
      </c>
      <c r="FA8" s="181" t="s">
        <v>20</v>
      </c>
      <c r="FB8" s="182" t="s">
        <v>20</v>
      </c>
      <c r="FC8" s="121">
        <f>EJ8/CW8*100</f>
        <v>99.57805907172997</v>
      </c>
      <c r="FD8" s="121">
        <f aca="true" t="shared" si="8" ref="FD8:FR8">EK8/CX8*100</f>
        <v>126.29931947530079</v>
      </c>
      <c r="FE8" s="121">
        <f t="shared" si="8"/>
        <v>98.48484848484848</v>
      </c>
      <c r="FF8" s="121">
        <f>EM8/CZ8*100</f>
        <v>168.32391109685526</v>
      </c>
      <c r="FG8" s="121">
        <f t="shared" si="8"/>
        <v>101.38888888888889</v>
      </c>
      <c r="FH8" s="121">
        <f t="shared" si="8"/>
        <v>134.89809381618693</v>
      </c>
      <c r="FI8" s="121">
        <f t="shared" si="8"/>
        <v>100</v>
      </c>
      <c r="FJ8" s="121">
        <f t="shared" si="8"/>
        <v>165.85840959357188</v>
      </c>
      <c r="FK8" s="121">
        <f t="shared" si="8"/>
        <v>80</v>
      </c>
      <c r="FL8" s="121">
        <f t="shared" si="8"/>
        <v>139.13390623876612</v>
      </c>
      <c r="FM8" s="121">
        <f t="shared" si="8"/>
        <v>88.88888888888889</v>
      </c>
      <c r="FN8" s="121">
        <f>EU8/DH8*100</f>
        <v>173.0814408770556</v>
      </c>
      <c r="FO8" s="121">
        <f t="shared" si="8"/>
        <v>100</v>
      </c>
      <c r="FP8" s="121">
        <f t="shared" si="8"/>
        <v>24.041928721174003</v>
      </c>
      <c r="FQ8" s="121" t="e">
        <f t="shared" si="8"/>
        <v>#DIV/0!</v>
      </c>
      <c r="FR8" s="121" t="e">
        <f t="shared" si="8"/>
        <v>#DIV/0!</v>
      </c>
      <c r="FS8" s="11" t="e">
        <f>EY8/DL8*100</f>
        <v>#DIV/0!</v>
      </c>
      <c r="FT8" s="280" t="e">
        <f>EZ8/DM8*100</f>
        <v>#VALUE!</v>
      </c>
    </row>
    <row r="9" spans="1:176" ht="25.5" customHeight="1">
      <c r="A9" s="56" t="s">
        <v>1</v>
      </c>
      <c r="B9" s="27" t="s">
        <v>20</v>
      </c>
      <c r="C9" s="121">
        <f aca="true" t="shared" si="9" ref="C9:C32">G9+K9+O9</f>
        <v>3</v>
      </c>
      <c r="D9" s="179">
        <f aca="true" t="shared" si="10" ref="D9:D32">H9+L9+P9</f>
        <v>2.6</v>
      </c>
      <c r="E9" s="121">
        <f aca="true" t="shared" si="11" ref="E9:E32">I9+M9+Q9</f>
        <v>1</v>
      </c>
      <c r="F9" s="121">
        <f aca="true" t="shared" si="12" ref="F9:F32">J9+N9+R9</f>
        <v>0.144</v>
      </c>
      <c r="G9" s="121">
        <v>3</v>
      </c>
      <c r="H9" s="179">
        <v>2.6</v>
      </c>
      <c r="I9" s="121">
        <v>1</v>
      </c>
      <c r="J9" s="179">
        <v>0.144</v>
      </c>
      <c r="K9" s="121">
        <v>0</v>
      </c>
      <c r="L9" s="179">
        <v>0</v>
      </c>
      <c r="M9" s="121">
        <v>0</v>
      </c>
      <c r="N9" s="179">
        <v>0</v>
      </c>
      <c r="O9" s="121">
        <v>0</v>
      </c>
      <c r="P9" s="179">
        <v>0</v>
      </c>
      <c r="Q9" s="121">
        <v>0</v>
      </c>
      <c r="R9" s="179">
        <v>0</v>
      </c>
      <c r="S9" s="180" t="s">
        <v>20</v>
      </c>
      <c r="T9" s="181" t="s">
        <v>20</v>
      </c>
      <c r="U9" s="186" t="s">
        <v>20</v>
      </c>
      <c r="V9" s="121">
        <f aca="true" t="shared" si="13" ref="V9:Y32">Z9+AD9+AH9</f>
        <v>2</v>
      </c>
      <c r="W9" s="179">
        <f t="shared" si="13"/>
        <v>2.4</v>
      </c>
      <c r="X9" s="121">
        <f t="shared" si="13"/>
        <v>1</v>
      </c>
      <c r="Y9" s="179">
        <f t="shared" si="13"/>
        <v>0.012</v>
      </c>
      <c r="Z9" s="121">
        <v>2</v>
      </c>
      <c r="AA9" s="179">
        <v>2.4</v>
      </c>
      <c r="AB9" s="121">
        <v>1</v>
      </c>
      <c r="AC9" s="250">
        <v>0.012</v>
      </c>
      <c r="AD9" s="121">
        <v>0</v>
      </c>
      <c r="AE9" s="121">
        <v>0</v>
      </c>
      <c r="AF9" s="121">
        <v>0</v>
      </c>
      <c r="AG9" s="121">
        <v>0</v>
      </c>
      <c r="AH9" s="122">
        <v>0</v>
      </c>
      <c r="AI9" s="122">
        <v>0</v>
      </c>
      <c r="AJ9" s="122">
        <v>0</v>
      </c>
      <c r="AK9" s="122">
        <v>0</v>
      </c>
      <c r="AL9" s="187" t="s">
        <v>20</v>
      </c>
      <c r="AM9" s="181" t="s">
        <v>20</v>
      </c>
      <c r="AN9" s="188" t="s">
        <v>1</v>
      </c>
      <c r="AO9" s="189" t="s">
        <v>20</v>
      </c>
      <c r="AP9" s="121">
        <f>V9/C9*100</f>
        <v>66.66666666666666</v>
      </c>
      <c r="AQ9" s="121">
        <f t="shared" si="2"/>
        <v>92.3076923076923</v>
      </c>
      <c r="AR9" s="121">
        <f t="shared" si="2"/>
        <v>100</v>
      </c>
      <c r="AS9" s="121">
        <f t="shared" si="2"/>
        <v>8.333333333333334</v>
      </c>
      <c r="AT9" s="122">
        <f t="shared" si="2"/>
        <v>66.66666666666666</v>
      </c>
      <c r="AU9" s="122">
        <f t="shared" si="2"/>
        <v>92.3076923076923</v>
      </c>
      <c r="AV9" s="122">
        <f t="shared" si="2"/>
        <v>100</v>
      </c>
      <c r="AW9" s="122">
        <f t="shared" si="2"/>
        <v>8.333333333333334</v>
      </c>
      <c r="AX9" s="122" t="e">
        <f t="shared" si="2"/>
        <v>#DIV/0!</v>
      </c>
      <c r="AY9" s="122" t="e">
        <f t="shared" si="2"/>
        <v>#DIV/0!</v>
      </c>
      <c r="AZ9" s="122" t="e">
        <f t="shared" si="2"/>
        <v>#DIV/0!</v>
      </c>
      <c r="BA9" s="122" t="e">
        <f t="shared" si="2"/>
        <v>#DIV/0!</v>
      </c>
      <c r="BB9" s="122" t="e">
        <f t="shared" si="2"/>
        <v>#DIV/0!</v>
      </c>
      <c r="BC9" s="122" t="e">
        <f t="shared" si="2"/>
        <v>#DIV/0!</v>
      </c>
      <c r="BD9" s="122" t="e">
        <f t="shared" si="2"/>
        <v>#DIV/0!</v>
      </c>
      <c r="BE9" s="122" t="e">
        <f>AK9/R9*100</f>
        <v>#DIV/0!</v>
      </c>
      <c r="BF9" s="122" t="e">
        <f>AL9/S9*100</f>
        <v>#VALUE!</v>
      </c>
      <c r="BG9" s="190" t="e">
        <f>AM9/T9*100</f>
        <v>#VALUE!</v>
      </c>
      <c r="BH9" s="186" t="s">
        <v>20</v>
      </c>
      <c r="BI9" s="188" t="s">
        <v>1</v>
      </c>
      <c r="BJ9" s="121">
        <f aca="true" t="shared" si="14" ref="BJ9:BJ32">BN9+BR9+BV9</f>
        <v>2</v>
      </c>
      <c r="BK9" s="179">
        <f aca="true" t="shared" si="15" ref="BK9:BK32">BO9+BS9+BW9</f>
        <v>0.343</v>
      </c>
      <c r="BL9" s="121">
        <f aca="true" t="shared" si="16" ref="BL9:BL32">BP9+BT9+BX9</f>
        <v>0</v>
      </c>
      <c r="BM9" s="179">
        <f aca="true" t="shared" si="17" ref="BM9:BM32">BQ9+BU9+BY9</f>
        <v>0</v>
      </c>
      <c r="BN9" s="121">
        <v>2</v>
      </c>
      <c r="BO9" s="179">
        <v>0.343</v>
      </c>
      <c r="BP9" s="121">
        <v>0</v>
      </c>
      <c r="BQ9" s="179">
        <v>0</v>
      </c>
      <c r="BR9" s="122">
        <v>0</v>
      </c>
      <c r="BS9" s="122">
        <v>0</v>
      </c>
      <c r="BT9" s="122">
        <v>0</v>
      </c>
      <c r="BU9" s="122">
        <v>0</v>
      </c>
      <c r="BV9" s="122">
        <v>0</v>
      </c>
      <c r="BW9" s="122">
        <v>0</v>
      </c>
      <c r="BX9" s="122">
        <v>0</v>
      </c>
      <c r="BY9" s="122">
        <v>0</v>
      </c>
      <c r="BZ9" s="187" t="s">
        <v>20</v>
      </c>
      <c r="CA9" s="181" t="s">
        <v>20</v>
      </c>
      <c r="CB9" s="188" t="s">
        <v>1</v>
      </c>
      <c r="CC9" s="189" t="s">
        <v>20</v>
      </c>
      <c r="CD9" s="122">
        <f aca="true" t="shared" si="18" ref="CD9:CD32">BJ9/V9*100</f>
        <v>100</v>
      </c>
      <c r="CE9" s="122">
        <f aca="true" t="shared" si="19" ref="CE9:CE32">BK9/W9*100</f>
        <v>14.29166666666667</v>
      </c>
      <c r="CF9" s="122">
        <f aca="true" t="shared" si="20" ref="CF9:CF32">BL9/X9*100</f>
        <v>0</v>
      </c>
      <c r="CG9" s="122">
        <f aca="true" t="shared" si="21" ref="CG9:CG32">BM9/Y9*100</f>
        <v>0</v>
      </c>
      <c r="CH9" s="122">
        <f aca="true" t="shared" si="22" ref="CH9:CH32">BN9/Z9*100</f>
        <v>100</v>
      </c>
      <c r="CI9" s="122">
        <f aca="true" t="shared" si="23" ref="CI9:CI32">BO9/AA9*100</f>
        <v>14.29166666666667</v>
      </c>
      <c r="CJ9" s="122">
        <f aca="true" t="shared" si="24" ref="CJ9:CJ32">BP9/AB9*100</f>
        <v>0</v>
      </c>
      <c r="CK9" s="122">
        <f aca="true" t="shared" si="25" ref="CK9:CK32">BQ9/AC9*100</f>
        <v>0</v>
      </c>
      <c r="CL9" s="122" t="e">
        <f aca="true" t="shared" si="26" ref="CL9:CL32">BR9/AD9*100</f>
        <v>#DIV/0!</v>
      </c>
      <c r="CM9" s="122" t="e">
        <f aca="true" t="shared" si="27" ref="CM9:CM32">BS9/AE9*100</f>
        <v>#DIV/0!</v>
      </c>
      <c r="CN9" s="122" t="e">
        <f aca="true" t="shared" si="28" ref="CN9:CN32">BT9/AF9*100</f>
        <v>#DIV/0!</v>
      </c>
      <c r="CO9" s="122" t="e">
        <f aca="true" t="shared" si="29" ref="CO9:CO32">BU9/AG9*100</f>
        <v>#DIV/0!</v>
      </c>
      <c r="CP9" s="122" t="e">
        <f aca="true" t="shared" si="30" ref="CP9:CP32">BV9/AH9*100</f>
        <v>#DIV/0!</v>
      </c>
      <c r="CQ9" s="122" t="e">
        <f aca="true" t="shared" si="31" ref="CQ9:CQ32">BW9/AI9*100</f>
        <v>#DIV/0!</v>
      </c>
      <c r="CR9" s="122" t="e">
        <f aca="true" t="shared" si="32" ref="CR9:CR32">BX9/AJ9*100</f>
        <v>#DIV/0!</v>
      </c>
      <c r="CS9" s="122" t="e">
        <f aca="true" t="shared" si="33" ref="CS9:CS32">BY9/AK9*100</f>
        <v>#DIV/0!</v>
      </c>
      <c r="CT9" s="122"/>
      <c r="CU9" s="191"/>
      <c r="CV9" s="192" t="s">
        <v>1</v>
      </c>
      <c r="CW9" s="121">
        <f aca="true" t="shared" si="34" ref="CW9:CW32">DA9+DE9+DI9</f>
        <v>1</v>
      </c>
      <c r="CX9" s="179">
        <f aca="true" t="shared" si="35" ref="CX9:CX32">DB9+DF9+DJ9</f>
        <v>0</v>
      </c>
      <c r="CY9" s="121">
        <f aca="true" t="shared" si="36" ref="CY9:CY32">DC9+DG9+DK9</f>
        <v>0</v>
      </c>
      <c r="CZ9" s="179">
        <f aca="true" t="shared" si="37" ref="CZ9:CZ32">DD9+DH9+DL9</f>
        <v>0</v>
      </c>
      <c r="DA9" s="122">
        <v>1</v>
      </c>
      <c r="DB9" s="251">
        <v>0</v>
      </c>
      <c r="DC9" s="122">
        <v>0</v>
      </c>
      <c r="DD9" s="122">
        <v>0</v>
      </c>
      <c r="DE9" s="121">
        <v>0</v>
      </c>
      <c r="DF9" s="121">
        <v>0</v>
      </c>
      <c r="DG9" s="121">
        <v>0</v>
      </c>
      <c r="DH9" s="121">
        <v>0</v>
      </c>
      <c r="DI9" s="122">
        <v>0</v>
      </c>
      <c r="DJ9" s="122">
        <v>0</v>
      </c>
      <c r="DK9" s="122">
        <v>0</v>
      </c>
      <c r="DL9" s="122">
        <v>0</v>
      </c>
      <c r="DM9" s="187" t="s">
        <v>20</v>
      </c>
      <c r="DN9" s="181" t="s">
        <v>20</v>
      </c>
      <c r="DO9" s="275" t="s">
        <v>1</v>
      </c>
      <c r="DP9" s="189" t="s">
        <v>20</v>
      </c>
      <c r="DQ9" s="122">
        <f aca="true" t="shared" si="38" ref="DQ9:DQ31">CW9/BJ9*100</f>
        <v>50</v>
      </c>
      <c r="DR9" s="122">
        <f aca="true" t="shared" si="39" ref="DR9:DR31">CX9/BK9*100</f>
        <v>0</v>
      </c>
      <c r="DS9" s="122"/>
      <c r="DT9" s="122"/>
      <c r="DU9" s="122">
        <f aca="true" t="shared" si="40" ref="DU9:DU31">DA9/BN9*100</f>
        <v>50</v>
      </c>
      <c r="DV9" s="122">
        <f aca="true" t="shared" si="41" ref="DV9:DV31">DB9/BO9*100</f>
        <v>0</v>
      </c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6"/>
      <c r="EH9" s="6"/>
      <c r="EI9" s="192" t="s">
        <v>1</v>
      </c>
      <c r="EJ9" s="121">
        <f aca="true" t="shared" si="42" ref="EJ9:EJ32">EN9+ER9+EV9</f>
        <v>1</v>
      </c>
      <c r="EK9" s="179">
        <f aca="true" t="shared" si="43" ref="EK9:EK32">EO9+ES9+EW9</f>
        <v>0</v>
      </c>
      <c r="EL9" s="121">
        <f aca="true" t="shared" si="44" ref="EL9:EL32">EP9+ET9+EX9</f>
        <v>0</v>
      </c>
      <c r="EM9" s="179">
        <f aca="true" t="shared" si="45" ref="EM9:EM32">EQ9+EU9+EY9</f>
        <v>0</v>
      </c>
      <c r="EN9" s="122">
        <v>1</v>
      </c>
      <c r="EO9" s="251">
        <v>0</v>
      </c>
      <c r="EP9" s="122">
        <v>0</v>
      </c>
      <c r="EQ9" s="122">
        <v>0</v>
      </c>
      <c r="ER9" s="121">
        <v>0</v>
      </c>
      <c r="ES9" s="121">
        <v>0</v>
      </c>
      <c r="ET9" s="121">
        <v>0</v>
      </c>
      <c r="EU9" s="121">
        <v>0</v>
      </c>
      <c r="EV9" s="122">
        <v>0</v>
      </c>
      <c r="EW9" s="122">
        <v>0</v>
      </c>
      <c r="EX9" s="122">
        <v>0</v>
      </c>
      <c r="EY9" s="122">
        <v>0</v>
      </c>
      <c r="EZ9" s="187" t="s">
        <v>20</v>
      </c>
      <c r="FA9" s="181" t="s">
        <v>20</v>
      </c>
      <c r="FB9" s="189" t="s">
        <v>20</v>
      </c>
      <c r="FC9" s="121">
        <f aca="true" t="shared" si="46" ref="FC9:FC32">EJ9/CW9*100</f>
        <v>100</v>
      </c>
      <c r="FD9" s="121"/>
      <c r="FE9" s="121"/>
      <c r="FF9" s="121"/>
      <c r="FG9" s="121">
        <f aca="true" t="shared" si="47" ref="FG9:FG32">EN9/DA9*100</f>
        <v>100</v>
      </c>
      <c r="FH9" s="121"/>
      <c r="FI9" s="121"/>
      <c r="FJ9" s="121"/>
      <c r="FK9" s="121"/>
      <c r="FL9" s="121"/>
      <c r="FM9" s="121"/>
      <c r="FN9" s="121"/>
      <c r="FO9" s="121"/>
      <c r="FP9" s="121"/>
      <c r="FQ9" s="121" t="e">
        <f aca="true" t="shared" si="48" ref="FQ9:FQ32">EX9/DK9*100</f>
        <v>#DIV/0!</v>
      </c>
      <c r="FR9" s="121" t="e">
        <f aca="true" t="shared" si="49" ref="FR9:FR32">EY9/DL9*100</f>
        <v>#DIV/0!</v>
      </c>
      <c r="FS9" s="6"/>
      <c r="FT9" s="281"/>
    </row>
    <row r="10" spans="1:176" ht="22.5" customHeight="1">
      <c r="A10" s="56" t="s">
        <v>2</v>
      </c>
      <c r="B10" s="27" t="s">
        <v>20</v>
      </c>
      <c r="C10" s="121">
        <f t="shared" si="9"/>
        <v>1</v>
      </c>
      <c r="D10" s="179">
        <f t="shared" si="10"/>
        <v>1.3</v>
      </c>
      <c r="E10" s="121">
        <f t="shared" si="11"/>
        <v>1</v>
      </c>
      <c r="F10" s="121">
        <f t="shared" si="12"/>
        <v>0.81</v>
      </c>
      <c r="G10" s="121">
        <v>1</v>
      </c>
      <c r="H10" s="179">
        <v>1.3</v>
      </c>
      <c r="I10" s="121">
        <v>0</v>
      </c>
      <c r="J10" s="179">
        <v>0</v>
      </c>
      <c r="K10" s="121">
        <v>0</v>
      </c>
      <c r="L10" s="252">
        <v>0</v>
      </c>
      <c r="M10" s="121">
        <v>1</v>
      </c>
      <c r="N10" s="179">
        <v>0.81</v>
      </c>
      <c r="O10" s="121">
        <v>0</v>
      </c>
      <c r="P10" s="179">
        <v>0</v>
      </c>
      <c r="Q10" s="121">
        <v>0</v>
      </c>
      <c r="R10" s="179">
        <v>0</v>
      </c>
      <c r="S10" s="180" t="s">
        <v>20</v>
      </c>
      <c r="T10" s="181" t="s">
        <v>20</v>
      </c>
      <c r="U10" s="186" t="s">
        <v>20</v>
      </c>
      <c r="V10" s="121">
        <f t="shared" si="13"/>
        <v>1</v>
      </c>
      <c r="W10" s="121">
        <f t="shared" si="13"/>
        <v>1.9</v>
      </c>
      <c r="X10" s="121">
        <f t="shared" si="13"/>
        <v>1</v>
      </c>
      <c r="Y10" s="179">
        <f t="shared" si="13"/>
        <v>1.1</v>
      </c>
      <c r="Z10" s="121">
        <v>1</v>
      </c>
      <c r="AA10" s="179">
        <v>1.9</v>
      </c>
      <c r="AB10" s="121">
        <v>1</v>
      </c>
      <c r="AC10" s="179">
        <v>1.1</v>
      </c>
      <c r="AD10" s="121">
        <v>0</v>
      </c>
      <c r="AE10" s="121">
        <v>0</v>
      </c>
      <c r="AF10" s="121">
        <v>0</v>
      </c>
      <c r="AG10" s="121">
        <v>0</v>
      </c>
      <c r="AH10" s="122">
        <v>0</v>
      </c>
      <c r="AI10" s="122">
        <v>0</v>
      </c>
      <c r="AJ10" s="122">
        <v>0</v>
      </c>
      <c r="AK10" s="122">
        <v>0</v>
      </c>
      <c r="AL10" s="187" t="s">
        <v>20</v>
      </c>
      <c r="AM10" s="181" t="s">
        <v>20</v>
      </c>
      <c r="AN10" s="188" t="s">
        <v>2</v>
      </c>
      <c r="AO10" s="189" t="s">
        <v>20</v>
      </c>
      <c r="AP10" s="121">
        <f aca="true" t="shared" si="50" ref="AP10:AP32">V10/C10*100</f>
        <v>100</v>
      </c>
      <c r="AQ10" s="121">
        <f aca="true" t="shared" si="51" ref="AQ10:AQ32">W10/D10*100</f>
        <v>146.15384615384613</v>
      </c>
      <c r="AR10" s="121">
        <f aca="true" t="shared" si="52" ref="AR10:AR32">X10/E10*100</f>
        <v>100</v>
      </c>
      <c r="AS10" s="121">
        <f aca="true" t="shared" si="53" ref="AS10:AS32">Y10/F10*100</f>
        <v>135.80246913580248</v>
      </c>
      <c r="AT10" s="122">
        <f aca="true" t="shared" si="54" ref="AT10:AT32">Z10/G10*100</f>
        <v>100</v>
      </c>
      <c r="AU10" s="122">
        <f aca="true" t="shared" si="55" ref="AU10:AU32">AA10/H10*100</f>
        <v>146.15384615384613</v>
      </c>
      <c r="AV10" s="122" t="e">
        <f aca="true" t="shared" si="56" ref="AV10:AV32">AB10/I10*100</f>
        <v>#DIV/0!</v>
      </c>
      <c r="AW10" s="122" t="e">
        <f aca="true" t="shared" si="57" ref="AW10:AW32">AC10/J10*100</f>
        <v>#DIV/0!</v>
      </c>
      <c r="AX10" s="122" t="e">
        <f aca="true" t="shared" si="58" ref="AX10:AX32">AD10/K10*100</f>
        <v>#DIV/0!</v>
      </c>
      <c r="AY10" s="122" t="e">
        <f aca="true" t="shared" si="59" ref="AY10:AY32">AE10/L10*100</f>
        <v>#DIV/0!</v>
      </c>
      <c r="AZ10" s="122">
        <f aca="true" t="shared" si="60" ref="AZ10:AZ32">AF10/M10*100</f>
        <v>0</v>
      </c>
      <c r="BA10" s="122">
        <f aca="true" t="shared" si="61" ref="BA10:BA32">AG10/N10*100</f>
        <v>0</v>
      </c>
      <c r="BB10" s="122" t="e">
        <f aca="true" t="shared" si="62" ref="BB10:BB32">AH10/O10*100</f>
        <v>#DIV/0!</v>
      </c>
      <c r="BC10" s="122" t="e">
        <f aca="true" t="shared" si="63" ref="BC10:BC32">AI10/P10*100</f>
        <v>#DIV/0!</v>
      </c>
      <c r="BD10" s="122" t="e">
        <f aca="true" t="shared" si="64" ref="BD10:BD32">AJ10/Q10*100</f>
        <v>#DIV/0!</v>
      </c>
      <c r="BE10" s="122" t="e">
        <f aca="true" t="shared" si="65" ref="BE10:BE32">AK10/R10*100</f>
        <v>#DIV/0!</v>
      </c>
      <c r="BF10" s="122" t="e">
        <f aca="true" t="shared" si="66" ref="BF10:BF32">AL10/S10*100</f>
        <v>#VALUE!</v>
      </c>
      <c r="BG10" s="190" t="e">
        <f aca="true" t="shared" si="67" ref="BG10:BG32">AM10/T10*100</f>
        <v>#VALUE!</v>
      </c>
      <c r="BH10" s="186" t="s">
        <v>20</v>
      </c>
      <c r="BI10" s="188" t="s">
        <v>2</v>
      </c>
      <c r="BJ10" s="121">
        <f t="shared" si="14"/>
        <v>1</v>
      </c>
      <c r="BK10" s="121">
        <f t="shared" si="15"/>
        <v>1.5</v>
      </c>
      <c r="BL10" s="121">
        <f t="shared" si="16"/>
        <v>1</v>
      </c>
      <c r="BM10" s="179">
        <f t="shared" si="17"/>
        <v>2.3</v>
      </c>
      <c r="BN10" s="121">
        <v>1</v>
      </c>
      <c r="BO10" s="252">
        <v>1.5</v>
      </c>
      <c r="BP10" s="252">
        <v>1</v>
      </c>
      <c r="BQ10" s="179">
        <v>2.3</v>
      </c>
      <c r="BR10" s="121">
        <v>0</v>
      </c>
      <c r="BS10" s="121">
        <v>0</v>
      </c>
      <c r="BT10" s="121">
        <v>0</v>
      </c>
      <c r="BU10" s="121">
        <v>0</v>
      </c>
      <c r="BV10" s="122">
        <v>0</v>
      </c>
      <c r="BW10" s="122">
        <v>0</v>
      </c>
      <c r="BX10" s="122">
        <v>0</v>
      </c>
      <c r="BY10" s="122">
        <v>0</v>
      </c>
      <c r="BZ10" s="187" t="s">
        <v>20</v>
      </c>
      <c r="CA10" s="181" t="s">
        <v>20</v>
      </c>
      <c r="CB10" s="188" t="s">
        <v>2</v>
      </c>
      <c r="CC10" s="189" t="s">
        <v>20</v>
      </c>
      <c r="CD10" s="122">
        <f t="shared" si="18"/>
        <v>100</v>
      </c>
      <c r="CE10" s="122">
        <f t="shared" si="19"/>
        <v>78.94736842105263</v>
      </c>
      <c r="CF10" s="122">
        <f t="shared" si="20"/>
        <v>100</v>
      </c>
      <c r="CG10" s="122">
        <f t="shared" si="21"/>
        <v>209.09090909090904</v>
      </c>
      <c r="CH10" s="122">
        <f t="shared" si="22"/>
        <v>100</v>
      </c>
      <c r="CI10" s="122">
        <f t="shared" si="23"/>
        <v>78.94736842105263</v>
      </c>
      <c r="CJ10" s="122">
        <f t="shared" si="24"/>
        <v>100</v>
      </c>
      <c r="CK10" s="122">
        <f t="shared" si="25"/>
        <v>209.09090909090904</v>
      </c>
      <c r="CL10" s="122" t="e">
        <f t="shared" si="26"/>
        <v>#DIV/0!</v>
      </c>
      <c r="CM10" s="122" t="e">
        <f t="shared" si="27"/>
        <v>#DIV/0!</v>
      </c>
      <c r="CN10" s="122" t="e">
        <f t="shared" si="28"/>
        <v>#DIV/0!</v>
      </c>
      <c r="CO10" s="122" t="e">
        <f t="shared" si="29"/>
        <v>#DIV/0!</v>
      </c>
      <c r="CP10" s="122" t="e">
        <f t="shared" si="30"/>
        <v>#DIV/0!</v>
      </c>
      <c r="CQ10" s="122" t="e">
        <f t="shared" si="31"/>
        <v>#DIV/0!</v>
      </c>
      <c r="CR10" s="122" t="e">
        <f t="shared" si="32"/>
        <v>#DIV/0!</v>
      </c>
      <c r="CS10" s="122" t="e">
        <f t="shared" si="33"/>
        <v>#DIV/0!</v>
      </c>
      <c r="CT10" s="122"/>
      <c r="CU10" s="191"/>
      <c r="CV10" s="192" t="s">
        <v>2</v>
      </c>
      <c r="CW10" s="121">
        <f t="shared" si="34"/>
        <v>1</v>
      </c>
      <c r="CX10" s="179">
        <f t="shared" si="35"/>
        <v>0.636</v>
      </c>
      <c r="CY10" s="121">
        <f t="shared" si="36"/>
        <v>1</v>
      </c>
      <c r="CZ10" s="179">
        <f t="shared" si="37"/>
        <v>0.351</v>
      </c>
      <c r="DA10" s="122">
        <v>1</v>
      </c>
      <c r="DB10" s="251">
        <v>0.636</v>
      </c>
      <c r="DC10" s="253">
        <v>1</v>
      </c>
      <c r="DD10" s="251">
        <v>0.351</v>
      </c>
      <c r="DE10" s="121">
        <v>0</v>
      </c>
      <c r="DF10" s="121">
        <v>0</v>
      </c>
      <c r="DG10" s="121">
        <v>0</v>
      </c>
      <c r="DH10" s="121">
        <v>0</v>
      </c>
      <c r="DI10" s="122">
        <v>0</v>
      </c>
      <c r="DJ10" s="122">
        <v>0</v>
      </c>
      <c r="DK10" s="122">
        <v>0</v>
      </c>
      <c r="DL10" s="122">
        <v>0</v>
      </c>
      <c r="DM10" s="187" t="s">
        <v>20</v>
      </c>
      <c r="DN10" s="181" t="s">
        <v>20</v>
      </c>
      <c r="DO10" s="275" t="s">
        <v>2</v>
      </c>
      <c r="DP10" s="189" t="s">
        <v>20</v>
      </c>
      <c r="DQ10" s="122">
        <f t="shared" si="38"/>
        <v>100</v>
      </c>
      <c r="DR10" s="122">
        <f t="shared" si="39"/>
        <v>42.4</v>
      </c>
      <c r="DS10" s="122">
        <f aca="true" t="shared" si="68" ref="DS10:DS32">CY10/BL10*100</f>
        <v>100</v>
      </c>
      <c r="DT10" s="122">
        <f aca="true" t="shared" si="69" ref="DT10:DT32">CZ10/BM10*100</f>
        <v>15.26086956521739</v>
      </c>
      <c r="DU10" s="122">
        <f t="shared" si="40"/>
        <v>100</v>
      </c>
      <c r="DV10" s="122">
        <f t="shared" si="41"/>
        <v>42.4</v>
      </c>
      <c r="DW10" s="122">
        <f aca="true" t="shared" si="70" ref="DW10:DW32">DC10/BP10*100</f>
        <v>100</v>
      </c>
      <c r="DX10" s="122">
        <f aca="true" t="shared" si="71" ref="DX10:DX32">DD10/BQ10*100</f>
        <v>15.26086956521739</v>
      </c>
      <c r="DY10" s="122"/>
      <c r="DZ10" s="122"/>
      <c r="EA10" s="122"/>
      <c r="EB10" s="122"/>
      <c r="EC10" s="122"/>
      <c r="ED10" s="122"/>
      <c r="EE10" s="122"/>
      <c r="EF10" s="122"/>
      <c r="EG10" s="6"/>
      <c r="EH10" s="6"/>
      <c r="EI10" s="192" t="s">
        <v>2</v>
      </c>
      <c r="EJ10" s="121">
        <f t="shared" si="42"/>
        <v>3</v>
      </c>
      <c r="EK10" s="179">
        <f t="shared" si="43"/>
        <v>0.72</v>
      </c>
      <c r="EL10" s="121">
        <f t="shared" si="44"/>
        <v>0</v>
      </c>
      <c r="EM10" s="179">
        <f t="shared" si="45"/>
        <v>0</v>
      </c>
      <c r="EN10" s="122">
        <v>3</v>
      </c>
      <c r="EO10" s="251">
        <v>0.72</v>
      </c>
      <c r="EP10" s="253">
        <v>0</v>
      </c>
      <c r="EQ10" s="251">
        <v>0</v>
      </c>
      <c r="ER10" s="121">
        <v>0</v>
      </c>
      <c r="ES10" s="121">
        <v>0</v>
      </c>
      <c r="ET10" s="121">
        <v>0</v>
      </c>
      <c r="EU10" s="121">
        <v>0</v>
      </c>
      <c r="EV10" s="122">
        <v>0</v>
      </c>
      <c r="EW10" s="122">
        <v>0</v>
      </c>
      <c r="EX10" s="122">
        <v>0</v>
      </c>
      <c r="EY10" s="122">
        <v>0</v>
      </c>
      <c r="EZ10" s="187" t="s">
        <v>20</v>
      </c>
      <c r="FA10" s="181" t="s">
        <v>20</v>
      </c>
      <c r="FB10" s="189" t="s">
        <v>20</v>
      </c>
      <c r="FC10" s="121">
        <f t="shared" si="46"/>
        <v>300</v>
      </c>
      <c r="FD10" s="121">
        <f aca="true" t="shared" si="72" ref="FD10:FD32">EK10/CX10*100</f>
        <v>113.20754716981132</v>
      </c>
      <c r="FE10" s="121">
        <f aca="true" t="shared" si="73" ref="FE10:FE31">EL10/CY10*100</f>
        <v>0</v>
      </c>
      <c r="FF10" s="121">
        <f aca="true" t="shared" si="74" ref="FF10:FF31">EM10/CZ10*100</f>
        <v>0</v>
      </c>
      <c r="FG10" s="121">
        <f t="shared" si="47"/>
        <v>300</v>
      </c>
      <c r="FH10" s="121">
        <f aca="true" t="shared" si="75" ref="FH10:FH32">EO10/DB10*100</f>
        <v>113.20754716981132</v>
      </c>
      <c r="FI10" s="121">
        <f aca="true" t="shared" si="76" ref="FI10:FI31">EP10/DC10*100</f>
        <v>0</v>
      </c>
      <c r="FJ10" s="121">
        <f aca="true" t="shared" si="77" ref="FJ10:FJ31">EQ10/DD10*100</f>
        <v>0</v>
      </c>
      <c r="FK10" s="121"/>
      <c r="FL10" s="121"/>
      <c r="FM10" s="121"/>
      <c r="FN10" s="121"/>
      <c r="FO10" s="121"/>
      <c r="FP10" s="121"/>
      <c r="FQ10" s="121" t="e">
        <f t="shared" si="48"/>
        <v>#DIV/0!</v>
      </c>
      <c r="FR10" s="121" t="e">
        <f t="shared" si="49"/>
        <v>#DIV/0!</v>
      </c>
      <c r="FS10" s="6"/>
      <c r="FT10" s="281"/>
    </row>
    <row r="11" spans="1:176" ht="24" customHeight="1">
      <c r="A11" s="56" t="s">
        <v>3</v>
      </c>
      <c r="B11" s="27" t="s">
        <v>20</v>
      </c>
      <c r="C11" s="121">
        <f t="shared" si="9"/>
        <v>0</v>
      </c>
      <c r="D11" s="179">
        <f t="shared" si="10"/>
        <v>0</v>
      </c>
      <c r="E11" s="121">
        <f t="shared" si="11"/>
        <v>1</v>
      </c>
      <c r="F11" s="121">
        <f t="shared" si="12"/>
        <v>5.8</v>
      </c>
      <c r="G11" s="121">
        <v>0</v>
      </c>
      <c r="H11" s="179">
        <v>0</v>
      </c>
      <c r="I11" s="121">
        <v>0</v>
      </c>
      <c r="J11" s="179">
        <v>0</v>
      </c>
      <c r="K11" s="121">
        <v>0</v>
      </c>
      <c r="L11" s="252">
        <v>0</v>
      </c>
      <c r="M11" s="121">
        <v>1</v>
      </c>
      <c r="N11" s="179">
        <v>5.8</v>
      </c>
      <c r="O11" s="121">
        <v>0</v>
      </c>
      <c r="P11" s="179">
        <v>0</v>
      </c>
      <c r="Q11" s="121">
        <v>0</v>
      </c>
      <c r="R11" s="179">
        <v>0</v>
      </c>
      <c r="S11" s="180" t="s">
        <v>20</v>
      </c>
      <c r="T11" s="181" t="s">
        <v>20</v>
      </c>
      <c r="U11" s="186" t="s">
        <v>20</v>
      </c>
      <c r="V11" s="121">
        <f t="shared" si="13"/>
        <v>0</v>
      </c>
      <c r="W11" s="121">
        <f t="shared" si="13"/>
        <v>0</v>
      </c>
      <c r="X11" s="121">
        <f t="shared" si="13"/>
        <v>1</v>
      </c>
      <c r="Y11" s="179">
        <f t="shared" si="13"/>
        <v>7.6</v>
      </c>
      <c r="Z11" s="121">
        <v>0</v>
      </c>
      <c r="AA11" s="179">
        <v>0</v>
      </c>
      <c r="AB11" s="121">
        <v>0</v>
      </c>
      <c r="AC11" s="121">
        <v>0</v>
      </c>
      <c r="AD11" s="121">
        <v>0</v>
      </c>
      <c r="AE11" s="121">
        <v>0</v>
      </c>
      <c r="AF11" s="121">
        <v>1</v>
      </c>
      <c r="AG11" s="179">
        <v>7.6</v>
      </c>
      <c r="AH11" s="122">
        <v>0</v>
      </c>
      <c r="AI11" s="122">
        <v>0</v>
      </c>
      <c r="AJ11" s="122">
        <v>0</v>
      </c>
      <c r="AK11" s="122">
        <v>0</v>
      </c>
      <c r="AL11" s="187" t="s">
        <v>20</v>
      </c>
      <c r="AM11" s="181" t="s">
        <v>20</v>
      </c>
      <c r="AN11" s="188" t="s">
        <v>3</v>
      </c>
      <c r="AO11" s="189" t="s">
        <v>20</v>
      </c>
      <c r="AP11" s="121" t="e">
        <f t="shared" si="50"/>
        <v>#DIV/0!</v>
      </c>
      <c r="AQ11" s="121" t="e">
        <f t="shared" si="51"/>
        <v>#DIV/0!</v>
      </c>
      <c r="AR11" s="121">
        <f t="shared" si="52"/>
        <v>100</v>
      </c>
      <c r="AS11" s="121">
        <f t="shared" si="53"/>
        <v>131.0344827586207</v>
      </c>
      <c r="AT11" s="122"/>
      <c r="AU11" s="122" t="e">
        <f t="shared" si="55"/>
        <v>#DIV/0!</v>
      </c>
      <c r="AV11" s="122" t="e">
        <f t="shared" si="56"/>
        <v>#DIV/0!</v>
      </c>
      <c r="AW11" s="122" t="e">
        <f t="shared" si="57"/>
        <v>#DIV/0!</v>
      </c>
      <c r="AX11" s="122" t="e">
        <f t="shared" si="58"/>
        <v>#DIV/0!</v>
      </c>
      <c r="AY11" s="122" t="e">
        <f t="shared" si="59"/>
        <v>#DIV/0!</v>
      </c>
      <c r="AZ11" s="122">
        <f t="shared" si="60"/>
        <v>100</v>
      </c>
      <c r="BA11" s="122">
        <f t="shared" si="61"/>
        <v>131.0344827586207</v>
      </c>
      <c r="BB11" s="122" t="e">
        <f t="shared" si="62"/>
        <v>#DIV/0!</v>
      </c>
      <c r="BC11" s="122" t="e">
        <f t="shared" si="63"/>
        <v>#DIV/0!</v>
      </c>
      <c r="BD11" s="122" t="e">
        <f t="shared" si="64"/>
        <v>#DIV/0!</v>
      </c>
      <c r="BE11" s="122" t="e">
        <f t="shared" si="65"/>
        <v>#DIV/0!</v>
      </c>
      <c r="BF11" s="122" t="e">
        <f t="shared" si="66"/>
        <v>#VALUE!</v>
      </c>
      <c r="BG11" s="190" t="e">
        <f t="shared" si="67"/>
        <v>#VALUE!</v>
      </c>
      <c r="BH11" s="186" t="s">
        <v>20</v>
      </c>
      <c r="BI11" s="188" t="s">
        <v>3</v>
      </c>
      <c r="BJ11" s="121">
        <f t="shared" si="14"/>
        <v>1</v>
      </c>
      <c r="BK11" s="121">
        <f t="shared" si="15"/>
        <v>11</v>
      </c>
      <c r="BL11" s="121">
        <f t="shared" si="16"/>
        <v>0</v>
      </c>
      <c r="BM11" s="179">
        <f t="shared" si="17"/>
        <v>0</v>
      </c>
      <c r="BN11" s="121">
        <v>0</v>
      </c>
      <c r="BO11" s="121">
        <v>0</v>
      </c>
      <c r="BP11" s="121">
        <v>0</v>
      </c>
      <c r="BQ11" s="121">
        <v>0</v>
      </c>
      <c r="BR11" s="121">
        <v>1</v>
      </c>
      <c r="BS11" s="121">
        <v>11</v>
      </c>
      <c r="BT11" s="121">
        <v>0</v>
      </c>
      <c r="BU11" s="179">
        <v>0</v>
      </c>
      <c r="BV11" s="122">
        <v>0</v>
      </c>
      <c r="BW11" s="122">
        <v>0</v>
      </c>
      <c r="BX11" s="122">
        <v>0</v>
      </c>
      <c r="BY11" s="122">
        <v>0</v>
      </c>
      <c r="BZ11" s="187" t="s">
        <v>20</v>
      </c>
      <c r="CA11" s="181" t="s">
        <v>20</v>
      </c>
      <c r="CB11" s="188" t="s">
        <v>3</v>
      </c>
      <c r="CC11" s="189" t="s">
        <v>20</v>
      </c>
      <c r="CD11" s="122" t="e">
        <f t="shared" si="18"/>
        <v>#DIV/0!</v>
      </c>
      <c r="CE11" s="122" t="e">
        <f t="shared" si="19"/>
        <v>#DIV/0!</v>
      </c>
      <c r="CF11" s="122">
        <f t="shared" si="20"/>
        <v>0</v>
      </c>
      <c r="CG11" s="122">
        <f t="shared" si="21"/>
        <v>0</v>
      </c>
      <c r="CH11" s="122" t="e">
        <f t="shared" si="22"/>
        <v>#DIV/0!</v>
      </c>
      <c r="CI11" s="122" t="e">
        <f t="shared" si="23"/>
        <v>#DIV/0!</v>
      </c>
      <c r="CJ11" s="122" t="e">
        <f t="shared" si="24"/>
        <v>#DIV/0!</v>
      </c>
      <c r="CK11" s="122" t="e">
        <f t="shared" si="25"/>
        <v>#DIV/0!</v>
      </c>
      <c r="CL11" s="122" t="e">
        <f t="shared" si="26"/>
        <v>#DIV/0!</v>
      </c>
      <c r="CM11" s="122" t="e">
        <f t="shared" si="27"/>
        <v>#DIV/0!</v>
      </c>
      <c r="CN11" s="122">
        <f t="shared" si="28"/>
        <v>0</v>
      </c>
      <c r="CO11" s="122">
        <f t="shared" si="29"/>
        <v>0</v>
      </c>
      <c r="CP11" s="122" t="e">
        <f t="shared" si="30"/>
        <v>#DIV/0!</v>
      </c>
      <c r="CQ11" s="122" t="e">
        <f t="shared" si="31"/>
        <v>#DIV/0!</v>
      </c>
      <c r="CR11" s="122" t="e">
        <f t="shared" si="32"/>
        <v>#DIV/0!</v>
      </c>
      <c r="CS11" s="122" t="e">
        <f t="shared" si="33"/>
        <v>#DIV/0!</v>
      </c>
      <c r="CT11" s="122"/>
      <c r="CU11" s="191"/>
      <c r="CV11" s="192" t="s">
        <v>3</v>
      </c>
      <c r="CW11" s="121">
        <f t="shared" si="34"/>
        <v>1</v>
      </c>
      <c r="CX11" s="179">
        <f t="shared" si="35"/>
        <v>22.3</v>
      </c>
      <c r="CY11" s="121">
        <f t="shared" si="36"/>
        <v>0</v>
      </c>
      <c r="CZ11" s="179">
        <f t="shared" si="37"/>
        <v>0</v>
      </c>
      <c r="DA11" s="122">
        <v>0</v>
      </c>
      <c r="DB11" s="251">
        <v>0</v>
      </c>
      <c r="DC11" s="122">
        <v>0</v>
      </c>
      <c r="DD11" s="122">
        <v>0</v>
      </c>
      <c r="DE11" s="121">
        <v>1</v>
      </c>
      <c r="DF11" s="179">
        <v>22.3</v>
      </c>
      <c r="DG11" s="121">
        <v>0</v>
      </c>
      <c r="DH11" s="179">
        <v>0</v>
      </c>
      <c r="DI11" s="122">
        <v>0</v>
      </c>
      <c r="DJ11" s="122">
        <v>0</v>
      </c>
      <c r="DK11" s="122">
        <v>0</v>
      </c>
      <c r="DL11" s="122">
        <v>0</v>
      </c>
      <c r="DM11" s="187" t="s">
        <v>20</v>
      </c>
      <c r="DN11" s="181" t="s">
        <v>20</v>
      </c>
      <c r="DO11" s="275" t="s">
        <v>3</v>
      </c>
      <c r="DP11" s="189" t="s">
        <v>20</v>
      </c>
      <c r="DQ11" s="122">
        <f t="shared" si="38"/>
        <v>100</v>
      </c>
      <c r="DR11" s="122">
        <f t="shared" si="39"/>
        <v>202.72727272727275</v>
      </c>
      <c r="DS11" s="122"/>
      <c r="DT11" s="122"/>
      <c r="DU11" s="122"/>
      <c r="DV11" s="122"/>
      <c r="DW11" s="122"/>
      <c r="DX11" s="122"/>
      <c r="DY11" s="122">
        <f>DE11/BR11*100</f>
        <v>100</v>
      </c>
      <c r="DZ11" s="122">
        <f>DF11/BS11*100</f>
        <v>202.72727272727275</v>
      </c>
      <c r="EA11" s="122"/>
      <c r="EB11" s="122"/>
      <c r="EC11" s="122"/>
      <c r="ED11" s="122"/>
      <c r="EE11" s="122"/>
      <c r="EF11" s="122"/>
      <c r="EG11" s="6"/>
      <c r="EH11" s="6"/>
      <c r="EI11" s="192" t="s">
        <v>3</v>
      </c>
      <c r="EJ11" s="121">
        <f t="shared" si="42"/>
        <v>0</v>
      </c>
      <c r="EK11" s="121">
        <f t="shared" si="43"/>
        <v>0</v>
      </c>
      <c r="EL11" s="121">
        <f t="shared" si="44"/>
        <v>1</v>
      </c>
      <c r="EM11" s="179">
        <f t="shared" si="45"/>
        <v>13.352</v>
      </c>
      <c r="EN11" s="122">
        <v>0</v>
      </c>
      <c r="EO11" s="251">
        <v>0</v>
      </c>
      <c r="EP11" s="122">
        <v>0</v>
      </c>
      <c r="EQ11" s="122">
        <v>0</v>
      </c>
      <c r="ER11" s="121">
        <v>0</v>
      </c>
      <c r="ES11" s="179">
        <v>0</v>
      </c>
      <c r="ET11" s="121">
        <v>1</v>
      </c>
      <c r="EU11" s="179">
        <v>13.352</v>
      </c>
      <c r="EV11" s="122">
        <v>0</v>
      </c>
      <c r="EW11" s="122">
        <v>0</v>
      </c>
      <c r="EX11" s="122">
        <v>0</v>
      </c>
      <c r="EY11" s="122">
        <v>0</v>
      </c>
      <c r="EZ11" s="187" t="s">
        <v>20</v>
      </c>
      <c r="FA11" s="181" t="s">
        <v>20</v>
      </c>
      <c r="FB11" s="189" t="s">
        <v>20</v>
      </c>
      <c r="FC11" s="121">
        <f t="shared" si="46"/>
        <v>0</v>
      </c>
      <c r="FD11" s="121">
        <f t="shared" si="72"/>
        <v>0</v>
      </c>
      <c r="FE11" s="121"/>
      <c r="FF11" s="121"/>
      <c r="FG11" s="121"/>
      <c r="FH11" s="121"/>
      <c r="FI11" s="121"/>
      <c r="FJ11" s="121"/>
      <c r="FK11" s="121">
        <f aca="true" t="shared" si="78" ref="FK11:FK28">ER11/DE11*100</f>
        <v>0</v>
      </c>
      <c r="FL11" s="121">
        <f>ES11/DF11*100</f>
        <v>0</v>
      </c>
      <c r="FM11" s="121"/>
      <c r="FN11" s="121"/>
      <c r="FO11" s="121"/>
      <c r="FP11" s="121"/>
      <c r="FQ11" s="121" t="e">
        <f t="shared" si="48"/>
        <v>#DIV/0!</v>
      </c>
      <c r="FR11" s="121" t="e">
        <f t="shared" si="49"/>
        <v>#DIV/0!</v>
      </c>
      <c r="FS11" s="6"/>
      <c r="FT11" s="281"/>
    </row>
    <row r="12" spans="1:176" ht="21.75" customHeight="1">
      <c r="A12" s="56" t="s">
        <v>36</v>
      </c>
      <c r="B12" s="27" t="s">
        <v>20</v>
      </c>
      <c r="C12" s="121">
        <f t="shared" si="9"/>
        <v>1</v>
      </c>
      <c r="D12" s="179">
        <f t="shared" si="10"/>
        <v>0.078</v>
      </c>
      <c r="E12" s="121">
        <f t="shared" si="11"/>
        <v>0</v>
      </c>
      <c r="F12" s="121">
        <f t="shared" si="12"/>
        <v>0</v>
      </c>
      <c r="G12" s="121">
        <v>1</v>
      </c>
      <c r="H12" s="179">
        <v>0.078</v>
      </c>
      <c r="I12" s="121">
        <v>0</v>
      </c>
      <c r="J12" s="179">
        <v>0</v>
      </c>
      <c r="K12" s="122">
        <v>0</v>
      </c>
      <c r="L12" s="251">
        <v>0</v>
      </c>
      <c r="M12" s="122">
        <v>0</v>
      </c>
      <c r="N12" s="251">
        <v>0</v>
      </c>
      <c r="O12" s="121">
        <v>0</v>
      </c>
      <c r="P12" s="179">
        <v>0</v>
      </c>
      <c r="Q12" s="121">
        <v>0</v>
      </c>
      <c r="R12" s="179">
        <v>0</v>
      </c>
      <c r="S12" s="180" t="s">
        <v>20</v>
      </c>
      <c r="T12" s="181" t="s">
        <v>20</v>
      </c>
      <c r="U12" s="186" t="s">
        <v>20</v>
      </c>
      <c r="V12" s="121">
        <f t="shared" si="13"/>
        <v>0</v>
      </c>
      <c r="W12" s="121">
        <f t="shared" si="13"/>
        <v>0</v>
      </c>
      <c r="X12" s="121">
        <f t="shared" si="13"/>
        <v>0</v>
      </c>
      <c r="Y12" s="179">
        <f t="shared" si="13"/>
        <v>0</v>
      </c>
      <c r="Z12" s="121">
        <v>0</v>
      </c>
      <c r="AA12" s="179">
        <v>0</v>
      </c>
      <c r="AB12" s="121">
        <v>0</v>
      </c>
      <c r="AC12" s="121">
        <v>0</v>
      </c>
      <c r="AD12" s="122">
        <v>0</v>
      </c>
      <c r="AE12" s="122">
        <v>0</v>
      </c>
      <c r="AF12" s="122">
        <v>0</v>
      </c>
      <c r="AG12" s="122">
        <v>0</v>
      </c>
      <c r="AH12" s="122">
        <v>0</v>
      </c>
      <c r="AI12" s="122">
        <v>0</v>
      </c>
      <c r="AJ12" s="122">
        <v>0</v>
      </c>
      <c r="AK12" s="122">
        <v>0</v>
      </c>
      <c r="AL12" s="187" t="s">
        <v>20</v>
      </c>
      <c r="AM12" s="181" t="s">
        <v>20</v>
      </c>
      <c r="AN12" s="188" t="s">
        <v>36</v>
      </c>
      <c r="AO12" s="189" t="s">
        <v>20</v>
      </c>
      <c r="AP12" s="121">
        <f t="shared" si="50"/>
        <v>0</v>
      </c>
      <c r="AQ12" s="121">
        <f t="shared" si="51"/>
        <v>0</v>
      </c>
      <c r="AR12" s="121" t="e">
        <f t="shared" si="52"/>
        <v>#DIV/0!</v>
      </c>
      <c r="AS12" s="121" t="e">
        <f t="shared" si="53"/>
        <v>#DIV/0!</v>
      </c>
      <c r="AT12" s="122">
        <f t="shared" si="54"/>
        <v>0</v>
      </c>
      <c r="AU12" s="122">
        <f t="shared" si="55"/>
        <v>0</v>
      </c>
      <c r="AV12" s="122" t="e">
        <f t="shared" si="56"/>
        <v>#DIV/0!</v>
      </c>
      <c r="AW12" s="122" t="e">
        <f t="shared" si="57"/>
        <v>#DIV/0!</v>
      </c>
      <c r="AX12" s="122" t="e">
        <f t="shared" si="58"/>
        <v>#DIV/0!</v>
      </c>
      <c r="AY12" s="122" t="e">
        <f t="shared" si="59"/>
        <v>#DIV/0!</v>
      </c>
      <c r="AZ12" s="122" t="e">
        <f t="shared" si="60"/>
        <v>#DIV/0!</v>
      </c>
      <c r="BA12" s="122" t="e">
        <f t="shared" si="61"/>
        <v>#DIV/0!</v>
      </c>
      <c r="BB12" s="122" t="e">
        <f t="shared" si="62"/>
        <v>#DIV/0!</v>
      </c>
      <c r="BC12" s="122" t="e">
        <f t="shared" si="63"/>
        <v>#DIV/0!</v>
      </c>
      <c r="BD12" s="122" t="e">
        <f t="shared" si="64"/>
        <v>#DIV/0!</v>
      </c>
      <c r="BE12" s="122" t="e">
        <f t="shared" si="65"/>
        <v>#DIV/0!</v>
      </c>
      <c r="BF12" s="122" t="e">
        <f t="shared" si="66"/>
        <v>#VALUE!</v>
      </c>
      <c r="BG12" s="190" t="e">
        <f t="shared" si="67"/>
        <v>#VALUE!</v>
      </c>
      <c r="BH12" s="186" t="s">
        <v>20</v>
      </c>
      <c r="BI12" s="188" t="s">
        <v>36</v>
      </c>
      <c r="BJ12" s="121">
        <f t="shared" si="14"/>
        <v>0</v>
      </c>
      <c r="BK12" s="121">
        <f t="shared" si="15"/>
        <v>0</v>
      </c>
      <c r="BL12" s="121">
        <f t="shared" si="16"/>
        <v>0</v>
      </c>
      <c r="BM12" s="179">
        <f t="shared" si="17"/>
        <v>0</v>
      </c>
      <c r="BN12" s="121">
        <v>0</v>
      </c>
      <c r="BO12" s="121">
        <v>0</v>
      </c>
      <c r="BP12" s="121">
        <v>0</v>
      </c>
      <c r="BQ12" s="121">
        <v>0</v>
      </c>
      <c r="BR12" s="122">
        <v>0</v>
      </c>
      <c r="BS12" s="122">
        <v>0</v>
      </c>
      <c r="BT12" s="122">
        <v>0</v>
      </c>
      <c r="BU12" s="122">
        <v>0</v>
      </c>
      <c r="BV12" s="122">
        <v>0</v>
      </c>
      <c r="BW12" s="122">
        <v>0</v>
      </c>
      <c r="BX12" s="122">
        <v>0</v>
      </c>
      <c r="BY12" s="122">
        <v>0</v>
      </c>
      <c r="BZ12" s="187" t="s">
        <v>20</v>
      </c>
      <c r="CA12" s="181" t="s">
        <v>20</v>
      </c>
      <c r="CB12" s="188" t="s">
        <v>36</v>
      </c>
      <c r="CC12" s="189" t="s">
        <v>20</v>
      </c>
      <c r="CD12" s="122" t="e">
        <f t="shared" si="18"/>
        <v>#DIV/0!</v>
      </c>
      <c r="CE12" s="122" t="e">
        <f t="shared" si="19"/>
        <v>#DIV/0!</v>
      </c>
      <c r="CF12" s="122" t="e">
        <f t="shared" si="20"/>
        <v>#DIV/0!</v>
      </c>
      <c r="CG12" s="122" t="e">
        <f t="shared" si="21"/>
        <v>#DIV/0!</v>
      </c>
      <c r="CH12" s="122" t="e">
        <f t="shared" si="22"/>
        <v>#DIV/0!</v>
      </c>
      <c r="CI12" s="122" t="e">
        <f t="shared" si="23"/>
        <v>#DIV/0!</v>
      </c>
      <c r="CJ12" s="122" t="e">
        <f t="shared" si="24"/>
        <v>#DIV/0!</v>
      </c>
      <c r="CK12" s="122" t="e">
        <f t="shared" si="25"/>
        <v>#DIV/0!</v>
      </c>
      <c r="CL12" s="122" t="e">
        <f t="shared" si="26"/>
        <v>#DIV/0!</v>
      </c>
      <c r="CM12" s="122" t="e">
        <f t="shared" si="27"/>
        <v>#DIV/0!</v>
      </c>
      <c r="CN12" s="122" t="e">
        <f t="shared" si="28"/>
        <v>#DIV/0!</v>
      </c>
      <c r="CO12" s="122" t="e">
        <f t="shared" si="29"/>
        <v>#DIV/0!</v>
      </c>
      <c r="CP12" s="122" t="e">
        <f t="shared" si="30"/>
        <v>#DIV/0!</v>
      </c>
      <c r="CQ12" s="122" t="e">
        <f t="shared" si="31"/>
        <v>#DIV/0!</v>
      </c>
      <c r="CR12" s="122" t="e">
        <f t="shared" si="32"/>
        <v>#DIV/0!</v>
      </c>
      <c r="CS12" s="122" t="e">
        <f t="shared" si="33"/>
        <v>#DIV/0!</v>
      </c>
      <c r="CT12" s="122"/>
      <c r="CU12" s="191"/>
      <c r="CV12" s="192" t="s">
        <v>36</v>
      </c>
      <c r="CW12" s="121">
        <f t="shared" si="34"/>
        <v>0</v>
      </c>
      <c r="CX12" s="121">
        <f t="shared" si="35"/>
        <v>0</v>
      </c>
      <c r="CY12" s="121">
        <f t="shared" si="36"/>
        <v>0</v>
      </c>
      <c r="CZ12" s="179">
        <f t="shared" si="37"/>
        <v>0</v>
      </c>
      <c r="DA12" s="122">
        <v>0</v>
      </c>
      <c r="DB12" s="251">
        <v>0</v>
      </c>
      <c r="DC12" s="122">
        <v>0</v>
      </c>
      <c r="DD12" s="122">
        <v>0</v>
      </c>
      <c r="DE12" s="121">
        <v>0</v>
      </c>
      <c r="DF12" s="121">
        <v>0</v>
      </c>
      <c r="DG12" s="121">
        <v>0</v>
      </c>
      <c r="DH12" s="121">
        <v>0</v>
      </c>
      <c r="DI12" s="122">
        <v>0</v>
      </c>
      <c r="DJ12" s="122">
        <v>0</v>
      </c>
      <c r="DK12" s="122">
        <v>0</v>
      </c>
      <c r="DL12" s="122">
        <v>0</v>
      </c>
      <c r="DM12" s="187" t="s">
        <v>20</v>
      </c>
      <c r="DN12" s="181" t="s">
        <v>20</v>
      </c>
      <c r="DO12" s="275" t="s">
        <v>36</v>
      </c>
      <c r="DP12" s="189" t="s">
        <v>20</v>
      </c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6"/>
      <c r="EH12" s="6"/>
      <c r="EI12" s="192" t="s">
        <v>36</v>
      </c>
      <c r="EJ12" s="121">
        <f t="shared" si="42"/>
        <v>0</v>
      </c>
      <c r="EK12" s="121">
        <f t="shared" si="43"/>
        <v>0</v>
      </c>
      <c r="EL12" s="121">
        <f t="shared" si="44"/>
        <v>0</v>
      </c>
      <c r="EM12" s="179">
        <f t="shared" si="45"/>
        <v>0</v>
      </c>
      <c r="EN12" s="122">
        <v>0</v>
      </c>
      <c r="EO12" s="251">
        <v>0</v>
      </c>
      <c r="EP12" s="122">
        <v>0</v>
      </c>
      <c r="EQ12" s="122">
        <v>0</v>
      </c>
      <c r="ER12" s="121">
        <v>0</v>
      </c>
      <c r="ES12" s="121">
        <v>0</v>
      </c>
      <c r="ET12" s="121">
        <v>0</v>
      </c>
      <c r="EU12" s="121">
        <v>0</v>
      </c>
      <c r="EV12" s="122">
        <v>0</v>
      </c>
      <c r="EW12" s="122">
        <v>0</v>
      </c>
      <c r="EX12" s="122">
        <v>0</v>
      </c>
      <c r="EY12" s="122">
        <v>0</v>
      </c>
      <c r="EZ12" s="187" t="s">
        <v>20</v>
      </c>
      <c r="FA12" s="181" t="s">
        <v>20</v>
      </c>
      <c r="FB12" s="189" t="s">
        <v>20</v>
      </c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 t="e">
        <f t="shared" si="48"/>
        <v>#DIV/0!</v>
      </c>
      <c r="FR12" s="121" t="e">
        <f t="shared" si="49"/>
        <v>#DIV/0!</v>
      </c>
      <c r="FS12" s="6"/>
      <c r="FT12" s="281"/>
    </row>
    <row r="13" spans="1:176" ht="24" customHeight="1">
      <c r="A13" s="56" t="s">
        <v>4</v>
      </c>
      <c r="B13" s="27" t="s">
        <v>20</v>
      </c>
      <c r="C13" s="121">
        <f t="shared" si="9"/>
        <v>22</v>
      </c>
      <c r="D13" s="179">
        <f t="shared" si="10"/>
        <v>32.97</v>
      </c>
      <c r="E13" s="121">
        <f t="shared" si="11"/>
        <v>17</v>
      </c>
      <c r="F13" s="121">
        <f t="shared" si="12"/>
        <v>34.823</v>
      </c>
      <c r="G13" s="121">
        <v>19</v>
      </c>
      <c r="H13" s="179">
        <f>1.1+0.067+0.004+1.3+5.3+8.4+1.2+0.065+0.14+0.412+0.084+0.087+0.293+0.257</f>
        <v>18.709</v>
      </c>
      <c r="I13" s="121">
        <v>12</v>
      </c>
      <c r="J13" s="179">
        <f>0.328+0.132+0.011+0.007+0.054+0.009+0.131+0.787+0.003+0.099+0.116+0.494</f>
        <v>2.1710000000000003</v>
      </c>
      <c r="K13" s="121">
        <v>3</v>
      </c>
      <c r="L13" s="252">
        <f>1.1+13+0.161</f>
        <v>14.261</v>
      </c>
      <c r="M13" s="121">
        <v>4</v>
      </c>
      <c r="N13" s="179">
        <f>0.02+0.01+32+0.55</f>
        <v>32.58</v>
      </c>
      <c r="O13" s="121">
        <v>0</v>
      </c>
      <c r="P13" s="252">
        <v>0</v>
      </c>
      <c r="Q13" s="179">
        <v>1</v>
      </c>
      <c r="R13" s="250">
        <v>0.072</v>
      </c>
      <c r="S13" s="180" t="s">
        <v>20</v>
      </c>
      <c r="T13" s="181" t="s">
        <v>20</v>
      </c>
      <c r="U13" s="186" t="s">
        <v>20</v>
      </c>
      <c r="V13" s="121">
        <f t="shared" si="13"/>
        <v>26</v>
      </c>
      <c r="W13" s="179">
        <f t="shared" si="13"/>
        <v>55.274</v>
      </c>
      <c r="X13" s="121">
        <f t="shared" si="13"/>
        <v>11</v>
      </c>
      <c r="Y13" s="179">
        <f t="shared" si="13"/>
        <v>40.709999999999994</v>
      </c>
      <c r="Z13" s="121">
        <v>23</v>
      </c>
      <c r="AA13" s="179">
        <f>0.852+0.739+0.135+0.062+0.136+0.01+2.2+9.4+0.47+0.084+0.077+0.96+0.115+17.8+0.104+0.259+0.171</f>
        <v>33.574</v>
      </c>
      <c r="AB13" s="121">
        <v>8</v>
      </c>
      <c r="AC13" s="179">
        <f>5.9+24+0.019+0.095+8+0.004+0.508+0.239</f>
        <v>38.76499999999999</v>
      </c>
      <c r="AD13" s="121">
        <v>3</v>
      </c>
      <c r="AE13" s="179">
        <v>21.7</v>
      </c>
      <c r="AF13" s="121">
        <v>3</v>
      </c>
      <c r="AG13" s="179">
        <v>1.945</v>
      </c>
      <c r="AH13" s="122">
        <v>0</v>
      </c>
      <c r="AI13" s="122">
        <v>0</v>
      </c>
      <c r="AJ13" s="122">
        <v>0</v>
      </c>
      <c r="AK13" s="122">
        <v>0</v>
      </c>
      <c r="AL13" s="187" t="s">
        <v>20</v>
      </c>
      <c r="AM13" s="181" t="s">
        <v>20</v>
      </c>
      <c r="AN13" s="188" t="s">
        <v>4</v>
      </c>
      <c r="AO13" s="189" t="s">
        <v>20</v>
      </c>
      <c r="AP13" s="121">
        <f t="shared" si="50"/>
        <v>118.18181818181819</v>
      </c>
      <c r="AQ13" s="121">
        <f t="shared" si="51"/>
        <v>167.64937822262664</v>
      </c>
      <c r="AR13" s="121">
        <f t="shared" si="52"/>
        <v>64.70588235294117</v>
      </c>
      <c r="AS13" s="121">
        <f t="shared" si="53"/>
        <v>116.90549349567812</v>
      </c>
      <c r="AT13" s="122">
        <f t="shared" si="54"/>
        <v>121.05263157894737</v>
      </c>
      <c r="AU13" s="122">
        <f t="shared" si="55"/>
        <v>179.45373884226842</v>
      </c>
      <c r="AV13" s="122">
        <f t="shared" si="56"/>
        <v>66.66666666666666</v>
      </c>
      <c r="AW13" s="122">
        <f t="shared" si="57"/>
        <v>1785.582680792261</v>
      </c>
      <c r="AX13" s="122">
        <f t="shared" si="58"/>
        <v>100</v>
      </c>
      <c r="AY13" s="122">
        <f t="shared" si="59"/>
        <v>152.1632424093682</v>
      </c>
      <c r="AZ13" s="122">
        <f t="shared" si="60"/>
        <v>75</v>
      </c>
      <c r="BA13" s="122">
        <f t="shared" si="61"/>
        <v>5.969920196439534</v>
      </c>
      <c r="BB13" s="122" t="e">
        <f t="shared" si="62"/>
        <v>#DIV/0!</v>
      </c>
      <c r="BC13" s="122" t="e">
        <f t="shared" si="63"/>
        <v>#DIV/0!</v>
      </c>
      <c r="BD13" s="122">
        <f t="shared" si="64"/>
        <v>0</v>
      </c>
      <c r="BE13" s="122">
        <f t="shared" si="65"/>
        <v>0</v>
      </c>
      <c r="BF13" s="122" t="e">
        <f t="shared" si="66"/>
        <v>#VALUE!</v>
      </c>
      <c r="BG13" s="190" t="e">
        <f t="shared" si="67"/>
        <v>#VALUE!</v>
      </c>
      <c r="BH13" s="186" t="s">
        <v>20</v>
      </c>
      <c r="BI13" s="188" t="s">
        <v>4</v>
      </c>
      <c r="BJ13" s="121">
        <f t="shared" si="14"/>
        <v>28</v>
      </c>
      <c r="BK13" s="179">
        <f t="shared" si="15"/>
        <v>77.106</v>
      </c>
      <c r="BL13" s="121">
        <f t="shared" si="16"/>
        <v>12</v>
      </c>
      <c r="BM13" s="179">
        <f t="shared" si="17"/>
        <v>84.571</v>
      </c>
      <c r="BN13" s="121">
        <v>26</v>
      </c>
      <c r="BO13" s="179">
        <f>0.303+0.873+0.068+2.5+0.05+0.125+16.26+8.897+1.7+2.5+13+0.021+0.284+1.3+0.028+1.2+0.697</f>
        <v>49.806</v>
      </c>
      <c r="BP13" s="252">
        <v>8</v>
      </c>
      <c r="BQ13" s="179">
        <f>0.1+11+0.01+1.8+0.01+0.05+0.002+0.239</f>
        <v>13.211000000000002</v>
      </c>
      <c r="BR13" s="121">
        <v>2</v>
      </c>
      <c r="BS13" s="179">
        <f>12+15.3</f>
        <v>27.3</v>
      </c>
      <c r="BT13" s="121">
        <v>3</v>
      </c>
      <c r="BU13" s="179">
        <f>48+0.18+0.28</f>
        <v>48.46</v>
      </c>
      <c r="BV13" s="122">
        <v>0</v>
      </c>
      <c r="BW13" s="122">
        <v>0</v>
      </c>
      <c r="BX13" s="122">
        <v>1</v>
      </c>
      <c r="BY13" s="251">
        <v>22.9</v>
      </c>
      <c r="BZ13" s="187" t="s">
        <v>20</v>
      </c>
      <c r="CA13" s="181" t="s">
        <v>20</v>
      </c>
      <c r="CB13" s="188" t="s">
        <v>4</v>
      </c>
      <c r="CC13" s="189" t="s">
        <v>20</v>
      </c>
      <c r="CD13" s="122">
        <f t="shared" si="18"/>
        <v>107.6923076923077</v>
      </c>
      <c r="CE13" s="122">
        <f t="shared" si="19"/>
        <v>139.49777472229258</v>
      </c>
      <c r="CF13" s="122">
        <f t="shared" si="20"/>
        <v>109.09090909090908</v>
      </c>
      <c r="CG13" s="122">
        <f t="shared" si="21"/>
        <v>207.7401129943503</v>
      </c>
      <c r="CH13" s="122">
        <f t="shared" si="22"/>
        <v>113.04347826086956</v>
      </c>
      <c r="CI13" s="122">
        <f t="shared" si="23"/>
        <v>148.34693512837313</v>
      </c>
      <c r="CJ13" s="122">
        <f t="shared" si="24"/>
        <v>100</v>
      </c>
      <c r="CK13" s="122">
        <f t="shared" si="25"/>
        <v>34.07971107958211</v>
      </c>
      <c r="CL13" s="122">
        <f t="shared" si="26"/>
        <v>66.66666666666666</v>
      </c>
      <c r="CM13" s="122">
        <f t="shared" si="27"/>
        <v>125.80645161290323</v>
      </c>
      <c r="CN13" s="122">
        <f t="shared" si="28"/>
        <v>100</v>
      </c>
      <c r="CO13" s="122">
        <f t="shared" si="29"/>
        <v>2491.516709511568</v>
      </c>
      <c r="CP13" s="122" t="e">
        <f t="shared" si="30"/>
        <v>#DIV/0!</v>
      </c>
      <c r="CQ13" s="122" t="e">
        <f t="shared" si="31"/>
        <v>#DIV/0!</v>
      </c>
      <c r="CR13" s="122" t="e">
        <f t="shared" si="32"/>
        <v>#DIV/0!</v>
      </c>
      <c r="CS13" s="122" t="e">
        <f t="shared" si="33"/>
        <v>#DIV/0!</v>
      </c>
      <c r="CT13" s="122"/>
      <c r="CU13" s="191"/>
      <c r="CV13" s="192" t="s">
        <v>4</v>
      </c>
      <c r="CW13" s="121">
        <f t="shared" si="34"/>
        <v>35</v>
      </c>
      <c r="CX13" s="179">
        <f t="shared" si="35"/>
        <v>105.161</v>
      </c>
      <c r="CY13" s="121">
        <f t="shared" si="36"/>
        <v>9</v>
      </c>
      <c r="CZ13" s="179">
        <f t="shared" si="37"/>
        <v>26.573999999999998</v>
      </c>
      <c r="DA13" s="122">
        <v>31</v>
      </c>
      <c r="DB13" s="251">
        <f>0.023+0.002+0.285+0.09+0.068+0.094+3.537+5.959+0.004+0.056+1.1+0.01+1.1+0.033</f>
        <v>12.360999999999997</v>
      </c>
      <c r="DC13" s="253">
        <v>7</v>
      </c>
      <c r="DD13" s="251">
        <f>8.766+3.119+1.127+0.42+1.187+0.019+0.496</f>
        <v>15.134</v>
      </c>
      <c r="DE13" s="121">
        <v>3</v>
      </c>
      <c r="DF13" s="179">
        <f>8.4+4.1+32.6</f>
        <v>45.1</v>
      </c>
      <c r="DG13" s="121">
        <v>2</v>
      </c>
      <c r="DH13" s="179">
        <f>11.1+0.34</f>
        <v>11.44</v>
      </c>
      <c r="DI13" s="122">
        <v>1</v>
      </c>
      <c r="DJ13" s="122">
        <v>47.7</v>
      </c>
      <c r="DK13" s="122">
        <v>0</v>
      </c>
      <c r="DL13" s="122">
        <v>0</v>
      </c>
      <c r="DM13" s="187" t="s">
        <v>20</v>
      </c>
      <c r="DN13" s="181" t="s">
        <v>20</v>
      </c>
      <c r="DO13" s="275" t="s">
        <v>4</v>
      </c>
      <c r="DP13" s="189" t="s">
        <v>20</v>
      </c>
      <c r="DQ13" s="122">
        <f t="shared" si="38"/>
        <v>125</v>
      </c>
      <c r="DR13" s="122">
        <f t="shared" si="39"/>
        <v>136.3849765258216</v>
      </c>
      <c r="DS13" s="122">
        <f t="shared" si="68"/>
        <v>75</v>
      </c>
      <c r="DT13" s="122">
        <f t="shared" si="69"/>
        <v>31.422118693169054</v>
      </c>
      <c r="DU13" s="122">
        <f t="shared" si="40"/>
        <v>119.23076923076923</v>
      </c>
      <c r="DV13" s="122">
        <f t="shared" si="41"/>
        <v>24.81829498454001</v>
      </c>
      <c r="DW13" s="122">
        <f t="shared" si="70"/>
        <v>87.5</v>
      </c>
      <c r="DX13" s="122">
        <f t="shared" si="71"/>
        <v>114.55605177503594</v>
      </c>
      <c r="DY13" s="122">
        <f>DE13/BR13*100</f>
        <v>150</v>
      </c>
      <c r="DZ13" s="122">
        <f>DF13/BS13*100</f>
        <v>165.2014652014652</v>
      </c>
      <c r="EA13" s="122">
        <f>DG13/BT13*100</f>
        <v>66.66666666666666</v>
      </c>
      <c r="EB13" s="122">
        <f>DH13/BU13*100</f>
        <v>23.607098638052</v>
      </c>
      <c r="EC13" s="122"/>
      <c r="ED13" s="122"/>
      <c r="EE13" s="122">
        <f>DK13/BX13*100</f>
        <v>0</v>
      </c>
      <c r="EF13" s="122">
        <f>DL13/BY13*100</f>
        <v>0</v>
      </c>
      <c r="EG13" s="6"/>
      <c r="EH13" s="6"/>
      <c r="EI13" s="192" t="s">
        <v>4</v>
      </c>
      <c r="EJ13" s="121">
        <f t="shared" si="42"/>
        <v>27</v>
      </c>
      <c r="EK13" s="179">
        <f t="shared" si="43"/>
        <v>201.829</v>
      </c>
      <c r="EL13" s="121">
        <f t="shared" si="44"/>
        <v>12</v>
      </c>
      <c r="EM13" s="179">
        <f t="shared" si="45"/>
        <v>62.96900000000001</v>
      </c>
      <c r="EN13" s="122">
        <v>22</v>
      </c>
      <c r="EO13" s="251">
        <f>0.07+18.9+29.4+1.48+0.07+0.02+0.09+1.74+0.03+0.31+0.03+0.1</f>
        <v>52.24000000000001</v>
      </c>
      <c r="EP13" s="253">
        <v>11</v>
      </c>
      <c r="EQ13" s="251">
        <f>0.05+0.06+17.8+0.27+0.04+16.9+0.4+0.24+0.52+0.1+0.2</f>
        <v>36.580000000000005</v>
      </c>
      <c r="ER13" s="121">
        <v>4</v>
      </c>
      <c r="ES13" s="179">
        <f>6.521+6.6+125</f>
        <v>138.121</v>
      </c>
      <c r="ET13" s="121">
        <v>1</v>
      </c>
      <c r="EU13" s="179">
        <v>26.389</v>
      </c>
      <c r="EV13" s="122">
        <v>1</v>
      </c>
      <c r="EW13" s="122">
        <v>11.468</v>
      </c>
      <c r="EX13" s="122">
        <v>0</v>
      </c>
      <c r="EY13" s="122">
        <v>0</v>
      </c>
      <c r="EZ13" s="187" t="s">
        <v>20</v>
      </c>
      <c r="FA13" s="181" t="s">
        <v>20</v>
      </c>
      <c r="FB13" s="189" t="s">
        <v>20</v>
      </c>
      <c r="FC13" s="121">
        <f t="shared" si="46"/>
        <v>77.14285714285715</v>
      </c>
      <c r="FD13" s="121">
        <f t="shared" si="72"/>
        <v>191.92381205960385</v>
      </c>
      <c r="FE13" s="121">
        <f t="shared" si="73"/>
        <v>133.33333333333331</v>
      </c>
      <c r="FF13" s="121">
        <f t="shared" si="74"/>
        <v>236.95717618725075</v>
      </c>
      <c r="FG13" s="121">
        <f t="shared" si="47"/>
        <v>70.96774193548387</v>
      </c>
      <c r="FH13" s="121">
        <f t="shared" si="75"/>
        <v>422.6195291643073</v>
      </c>
      <c r="FI13" s="121">
        <f t="shared" si="76"/>
        <v>157.14285714285714</v>
      </c>
      <c r="FJ13" s="121">
        <f t="shared" si="77"/>
        <v>241.7074137703185</v>
      </c>
      <c r="FK13" s="121">
        <f t="shared" si="78"/>
        <v>133.33333333333331</v>
      </c>
      <c r="FL13" s="121">
        <f>ES13/DF13*100</f>
        <v>306.2549889135255</v>
      </c>
      <c r="FM13" s="121">
        <f>ET13/DG13*100</f>
        <v>50</v>
      </c>
      <c r="FN13" s="121">
        <f>EU13/DH13*100</f>
        <v>230.67307692307693</v>
      </c>
      <c r="FO13" s="121">
        <f>EV13/DI13*100</f>
        <v>100</v>
      </c>
      <c r="FP13" s="121">
        <f>EW13/DJ13*100</f>
        <v>24.041928721174003</v>
      </c>
      <c r="FQ13" s="121" t="e">
        <f t="shared" si="48"/>
        <v>#DIV/0!</v>
      </c>
      <c r="FR13" s="121" t="e">
        <f t="shared" si="49"/>
        <v>#DIV/0!</v>
      </c>
      <c r="FS13" s="6"/>
      <c r="FT13" s="281"/>
    </row>
    <row r="14" spans="1:176" ht="21" customHeight="1">
      <c r="A14" s="56" t="s">
        <v>13</v>
      </c>
      <c r="B14" s="27" t="s">
        <v>20</v>
      </c>
      <c r="C14" s="121">
        <f t="shared" si="9"/>
        <v>3</v>
      </c>
      <c r="D14" s="179">
        <f t="shared" si="10"/>
        <v>0.74</v>
      </c>
      <c r="E14" s="121">
        <f t="shared" si="11"/>
        <v>0</v>
      </c>
      <c r="F14" s="121">
        <f t="shared" si="12"/>
        <v>0</v>
      </c>
      <c r="G14" s="122">
        <v>3</v>
      </c>
      <c r="H14" s="254">
        <v>0.74</v>
      </c>
      <c r="I14" s="122">
        <v>0</v>
      </c>
      <c r="J14" s="251">
        <v>0</v>
      </c>
      <c r="K14" s="122">
        <v>0</v>
      </c>
      <c r="L14" s="251">
        <v>0</v>
      </c>
      <c r="M14" s="122">
        <v>0</v>
      </c>
      <c r="N14" s="251">
        <v>0</v>
      </c>
      <c r="O14" s="121">
        <v>0</v>
      </c>
      <c r="P14" s="179">
        <v>0</v>
      </c>
      <c r="Q14" s="121">
        <v>0</v>
      </c>
      <c r="R14" s="179">
        <v>0</v>
      </c>
      <c r="S14" s="180" t="s">
        <v>20</v>
      </c>
      <c r="T14" s="181" t="s">
        <v>20</v>
      </c>
      <c r="U14" s="186" t="s">
        <v>20</v>
      </c>
      <c r="V14" s="121">
        <f t="shared" si="13"/>
        <v>2</v>
      </c>
      <c r="W14" s="179">
        <f t="shared" si="13"/>
        <v>0.32</v>
      </c>
      <c r="X14" s="121">
        <f t="shared" si="13"/>
        <v>0</v>
      </c>
      <c r="Y14" s="179">
        <f t="shared" si="13"/>
        <v>0</v>
      </c>
      <c r="Z14" s="122">
        <v>2</v>
      </c>
      <c r="AA14" s="251">
        <v>0.32</v>
      </c>
      <c r="AB14" s="122">
        <v>0</v>
      </c>
      <c r="AC14" s="251">
        <v>0</v>
      </c>
      <c r="AD14" s="122">
        <v>0</v>
      </c>
      <c r="AE14" s="251">
        <v>0</v>
      </c>
      <c r="AF14" s="122">
        <v>0</v>
      </c>
      <c r="AG14" s="251">
        <v>0</v>
      </c>
      <c r="AH14" s="122">
        <v>0</v>
      </c>
      <c r="AI14" s="122">
        <v>0</v>
      </c>
      <c r="AJ14" s="122">
        <v>0</v>
      </c>
      <c r="AK14" s="122">
        <v>0</v>
      </c>
      <c r="AL14" s="187" t="s">
        <v>20</v>
      </c>
      <c r="AM14" s="181" t="s">
        <v>20</v>
      </c>
      <c r="AN14" s="188" t="s">
        <v>13</v>
      </c>
      <c r="AO14" s="189" t="s">
        <v>20</v>
      </c>
      <c r="AP14" s="121">
        <f t="shared" si="50"/>
        <v>66.66666666666666</v>
      </c>
      <c r="AQ14" s="121">
        <f t="shared" si="51"/>
        <v>43.24324324324324</v>
      </c>
      <c r="AR14" s="121" t="e">
        <f t="shared" si="52"/>
        <v>#DIV/0!</v>
      </c>
      <c r="AS14" s="121" t="e">
        <f t="shared" si="53"/>
        <v>#DIV/0!</v>
      </c>
      <c r="AT14" s="122">
        <f t="shared" si="54"/>
        <v>66.66666666666666</v>
      </c>
      <c r="AU14" s="122">
        <f t="shared" si="55"/>
        <v>43.24324324324324</v>
      </c>
      <c r="AV14" s="122" t="e">
        <f t="shared" si="56"/>
        <v>#DIV/0!</v>
      </c>
      <c r="AW14" s="122" t="e">
        <f t="shared" si="57"/>
        <v>#DIV/0!</v>
      </c>
      <c r="AX14" s="122" t="e">
        <f t="shared" si="58"/>
        <v>#DIV/0!</v>
      </c>
      <c r="AY14" s="122" t="e">
        <f t="shared" si="59"/>
        <v>#DIV/0!</v>
      </c>
      <c r="AZ14" s="122" t="e">
        <f t="shared" si="60"/>
        <v>#DIV/0!</v>
      </c>
      <c r="BA14" s="122" t="e">
        <f t="shared" si="61"/>
        <v>#DIV/0!</v>
      </c>
      <c r="BB14" s="122" t="e">
        <f t="shared" si="62"/>
        <v>#DIV/0!</v>
      </c>
      <c r="BC14" s="122" t="e">
        <f t="shared" si="63"/>
        <v>#DIV/0!</v>
      </c>
      <c r="BD14" s="122" t="e">
        <f t="shared" si="64"/>
        <v>#DIV/0!</v>
      </c>
      <c r="BE14" s="122" t="e">
        <f t="shared" si="65"/>
        <v>#DIV/0!</v>
      </c>
      <c r="BF14" s="122" t="e">
        <f t="shared" si="66"/>
        <v>#VALUE!</v>
      </c>
      <c r="BG14" s="190" t="e">
        <f t="shared" si="67"/>
        <v>#VALUE!</v>
      </c>
      <c r="BH14" s="186" t="s">
        <v>20</v>
      </c>
      <c r="BI14" s="188" t="s">
        <v>13</v>
      </c>
      <c r="BJ14" s="121">
        <f t="shared" si="14"/>
        <v>2</v>
      </c>
      <c r="BK14" s="179">
        <f t="shared" si="15"/>
        <v>0.388</v>
      </c>
      <c r="BL14" s="121">
        <f t="shared" si="16"/>
        <v>0</v>
      </c>
      <c r="BM14" s="179">
        <f t="shared" si="17"/>
        <v>0</v>
      </c>
      <c r="BN14" s="122">
        <v>2</v>
      </c>
      <c r="BO14" s="251">
        <v>0.388</v>
      </c>
      <c r="BP14" s="251">
        <v>0</v>
      </c>
      <c r="BQ14" s="251">
        <v>0</v>
      </c>
      <c r="BR14" s="122">
        <v>0</v>
      </c>
      <c r="BS14" s="251">
        <v>0</v>
      </c>
      <c r="BT14" s="122">
        <v>0</v>
      </c>
      <c r="BU14" s="251">
        <v>0</v>
      </c>
      <c r="BV14" s="122">
        <v>0</v>
      </c>
      <c r="BW14" s="122">
        <v>0</v>
      </c>
      <c r="BX14" s="122">
        <v>0</v>
      </c>
      <c r="BY14" s="122">
        <v>0</v>
      </c>
      <c r="BZ14" s="187" t="s">
        <v>20</v>
      </c>
      <c r="CA14" s="181" t="s">
        <v>20</v>
      </c>
      <c r="CB14" s="188" t="s">
        <v>13</v>
      </c>
      <c r="CC14" s="189" t="s">
        <v>20</v>
      </c>
      <c r="CD14" s="122">
        <f t="shared" si="18"/>
        <v>100</v>
      </c>
      <c r="CE14" s="122">
        <f t="shared" si="19"/>
        <v>121.24999999999999</v>
      </c>
      <c r="CF14" s="122" t="e">
        <f t="shared" si="20"/>
        <v>#DIV/0!</v>
      </c>
      <c r="CG14" s="122" t="e">
        <f t="shared" si="21"/>
        <v>#DIV/0!</v>
      </c>
      <c r="CH14" s="122">
        <f t="shared" si="22"/>
        <v>100</v>
      </c>
      <c r="CI14" s="122">
        <f t="shared" si="23"/>
        <v>121.24999999999999</v>
      </c>
      <c r="CJ14" s="122" t="e">
        <f t="shared" si="24"/>
        <v>#DIV/0!</v>
      </c>
      <c r="CK14" s="122" t="e">
        <f t="shared" si="25"/>
        <v>#DIV/0!</v>
      </c>
      <c r="CL14" s="122" t="e">
        <f t="shared" si="26"/>
        <v>#DIV/0!</v>
      </c>
      <c r="CM14" s="122" t="e">
        <f t="shared" si="27"/>
        <v>#DIV/0!</v>
      </c>
      <c r="CN14" s="122" t="e">
        <f t="shared" si="28"/>
        <v>#DIV/0!</v>
      </c>
      <c r="CO14" s="122" t="e">
        <f t="shared" si="29"/>
        <v>#DIV/0!</v>
      </c>
      <c r="CP14" s="122" t="e">
        <f t="shared" si="30"/>
        <v>#DIV/0!</v>
      </c>
      <c r="CQ14" s="122" t="e">
        <f t="shared" si="31"/>
        <v>#DIV/0!</v>
      </c>
      <c r="CR14" s="122" t="e">
        <f t="shared" si="32"/>
        <v>#DIV/0!</v>
      </c>
      <c r="CS14" s="122" t="e">
        <f t="shared" si="33"/>
        <v>#DIV/0!</v>
      </c>
      <c r="CT14" s="122"/>
      <c r="CU14" s="191"/>
      <c r="CV14" s="192" t="s">
        <v>13</v>
      </c>
      <c r="CW14" s="121">
        <f t="shared" si="34"/>
        <v>3</v>
      </c>
      <c r="CX14" s="179">
        <f t="shared" si="35"/>
        <v>0.452</v>
      </c>
      <c r="CY14" s="121">
        <f t="shared" si="36"/>
        <v>0</v>
      </c>
      <c r="CZ14" s="179">
        <f t="shared" si="37"/>
        <v>0</v>
      </c>
      <c r="DA14" s="122">
        <v>3</v>
      </c>
      <c r="DB14" s="251">
        <v>0.452</v>
      </c>
      <c r="DC14" s="122">
        <v>0</v>
      </c>
      <c r="DD14" s="122">
        <v>0</v>
      </c>
      <c r="DE14" s="121">
        <v>0</v>
      </c>
      <c r="DF14" s="121">
        <v>0</v>
      </c>
      <c r="DG14" s="121">
        <v>0</v>
      </c>
      <c r="DH14" s="121">
        <v>0</v>
      </c>
      <c r="DI14" s="121">
        <v>0</v>
      </c>
      <c r="DJ14" s="179">
        <v>0</v>
      </c>
      <c r="DK14" s="122">
        <v>0</v>
      </c>
      <c r="DL14" s="122">
        <v>0</v>
      </c>
      <c r="DM14" s="187" t="s">
        <v>20</v>
      </c>
      <c r="DN14" s="181" t="s">
        <v>20</v>
      </c>
      <c r="DO14" s="275" t="s">
        <v>13</v>
      </c>
      <c r="DP14" s="189" t="s">
        <v>20</v>
      </c>
      <c r="DQ14" s="122">
        <f t="shared" si="38"/>
        <v>150</v>
      </c>
      <c r="DR14" s="122">
        <f t="shared" si="39"/>
        <v>116.49484536082475</v>
      </c>
      <c r="DS14" s="122"/>
      <c r="DT14" s="122"/>
      <c r="DU14" s="122">
        <f t="shared" si="40"/>
        <v>150</v>
      </c>
      <c r="DV14" s="122">
        <f t="shared" si="41"/>
        <v>116.49484536082475</v>
      </c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6"/>
      <c r="EH14" s="6"/>
      <c r="EI14" s="192" t="s">
        <v>13</v>
      </c>
      <c r="EJ14" s="121">
        <f t="shared" si="42"/>
        <v>2</v>
      </c>
      <c r="EK14" s="179">
        <f t="shared" si="43"/>
        <v>0.68</v>
      </c>
      <c r="EL14" s="121">
        <f t="shared" si="44"/>
        <v>1</v>
      </c>
      <c r="EM14" s="179">
        <f t="shared" si="45"/>
        <v>1.04</v>
      </c>
      <c r="EN14" s="122">
        <v>2</v>
      </c>
      <c r="EO14" s="251">
        <v>0.68</v>
      </c>
      <c r="EP14" s="122">
        <v>1</v>
      </c>
      <c r="EQ14" s="122">
        <v>1.04</v>
      </c>
      <c r="ER14" s="121">
        <v>0</v>
      </c>
      <c r="ES14" s="121">
        <v>0</v>
      </c>
      <c r="ET14" s="121">
        <v>0</v>
      </c>
      <c r="EU14" s="121">
        <v>0</v>
      </c>
      <c r="EV14" s="121"/>
      <c r="EW14" s="179"/>
      <c r="EX14" s="122">
        <v>0</v>
      </c>
      <c r="EY14" s="122">
        <v>0</v>
      </c>
      <c r="EZ14" s="187" t="s">
        <v>20</v>
      </c>
      <c r="FA14" s="181" t="s">
        <v>20</v>
      </c>
      <c r="FB14" s="189" t="s">
        <v>20</v>
      </c>
      <c r="FC14" s="121">
        <f t="shared" si="46"/>
        <v>66.66666666666666</v>
      </c>
      <c r="FD14" s="121">
        <f t="shared" si="72"/>
        <v>150.4424778761062</v>
      </c>
      <c r="FE14" s="121"/>
      <c r="FF14" s="121"/>
      <c r="FG14" s="121">
        <f t="shared" si="47"/>
        <v>66.66666666666666</v>
      </c>
      <c r="FH14" s="121">
        <f t="shared" si="75"/>
        <v>150.4424778761062</v>
      </c>
      <c r="FI14" s="121"/>
      <c r="FJ14" s="121"/>
      <c r="FK14" s="121"/>
      <c r="FL14" s="121"/>
      <c r="FM14" s="121"/>
      <c r="FN14" s="121"/>
      <c r="FO14" s="121"/>
      <c r="FP14" s="121"/>
      <c r="FQ14" s="121" t="e">
        <f t="shared" si="48"/>
        <v>#DIV/0!</v>
      </c>
      <c r="FR14" s="121" t="e">
        <f t="shared" si="49"/>
        <v>#DIV/0!</v>
      </c>
      <c r="FS14" s="6"/>
      <c r="FT14" s="281"/>
    </row>
    <row r="15" spans="1:176" ht="54" customHeight="1">
      <c r="A15" s="56" t="s">
        <v>46</v>
      </c>
      <c r="B15" s="27" t="s">
        <v>20</v>
      </c>
      <c r="C15" s="121">
        <f t="shared" si="9"/>
        <v>9</v>
      </c>
      <c r="D15" s="179">
        <f t="shared" si="10"/>
        <v>9.98</v>
      </c>
      <c r="E15" s="121">
        <f t="shared" si="11"/>
        <v>2</v>
      </c>
      <c r="F15" s="121">
        <f t="shared" si="12"/>
        <v>6.4</v>
      </c>
      <c r="G15" s="122">
        <v>3</v>
      </c>
      <c r="H15" s="254">
        <v>0.18</v>
      </c>
      <c r="I15" s="122">
        <v>0</v>
      </c>
      <c r="J15" s="251">
        <v>0</v>
      </c>
      <c r="K15" s="121">
        <v>6</v>
      </c>
      <c r="L15" s="179">
        <f>4.8+5</f>
        <v>9.8</v>
      </c>
      <c r="M15" s="121">
        <v>2</v>
      </c>
      <c r="N15" s="179">
        <f>3.3+3.1</f>
        <v>6.4</v>
      </c>
      <c r="O15" s="121">
        <v>0</v>
      </c>
      <c r="P15" s="179">
        <v>0</v>
      </c>
      <c r="Q15" s="121">
        <v>0</v>
      </c>
      <c r="R15" s="179">
        <v>0</v>
      </c>
      <c r="S15" s="180" t="s">
        <v>20</v>
      </c>
      <c r="T15" s="181" t="s">
        <v>20</v>
      </c>
      <c r="U15" s="186" t="s">
        <v>20</v>
      </c>
      <c r="V15" s="121">
        <f t="shared" si="13"/>
        <v>4</v>
      </c>
      <c r="W15" s="179">
        <f t="shared" si="13"/>
        <v>3.3</v>
      </c>
      <c r="X15" s="121">
        <f t="shared" si="13"/>
        <v>2</v>
      </c>
      <c r="Y15" s="179">
        <f t="shared" si="13"/>
        <v>5.62</v>
      </c>
      <c r="Z15" s="122">
        <v>0</v>
      </c>
      <c r="AA15" s="251">
        <v>0</v>
      </c>
      <c r="AB15" s="122">
        <v>1</v>
      </c>
      <c r="AC15" s="254">
        <v>0.01</v>
      </c>
      <c r="AD15" s="121">
        <v>4</v>
      </c>
      <c r="AE15" s="179">
        <f>3.3</f>
        <v>3.3</v>
      </c>
      <c r="AF15" s="121">
        <v>1</v>
      </c>
      <c r="AG15" s="179">
        <f>0.95+4.66</f>
        <v>5.61</v>
      </c>
      <c r="AH15" s="122">
        <v>0</v>
      </c>
      <c r="AI15" s="122">
        <v>0</v>
      </c>
      <c r="AJ15" s="122">
        <v>0</v>
      </c>
      <c r="AK15" s="122">
        <v>0</v>
      </c>
      <c r="AL15" s="187" t="s">
        <v>20</v>
      </c>
      <c r="AM15" s="181" t="s">
        <v>20</v>
      </c>
      <c r="AN15" s="188" t="s">
        <v>38</v>
      </c>
      <c r="AO15" s="189" t="s">
        <v>20</v>
      </c>
      <c r="AP15" s="121">
        <f t="shared" si="50"/>
        <v>44.44444444444444</v>
      </c>
      <c r="AQ15" s="121">
        <f t="shared" si="51"/>
        <v>33.06613226452905</v>
      </c>
      <c r="AR15" s="121">
        <f t="shared" si="52"/>
        <v>100</v>
      </c>
      <c r="AS15" s="121">
        <f t="shared" si="53"/>
        <v>87.8125</v>
      </c>
      <c r="AT15" s="122">
        <f t="shared" si="54"/>
        <v>0</v>
      </c>
      <c r="AU15" s="122">
        <f t="shared" si="55"/>
        <v>0</v>
      </c>
      <c r="AV15" s="122" t="e">
        <f t="shared" si="56"/>
        <v>#DIV/0!</v>
      </c>
      <c r="AW15" s="122" t="e">
        <f t="shared" si="57"/>
        <v>#DIV/0!</v>
      </c>
      <c r="AX15" s="122">
        <f t="shared" si="58"/>
        <v>66.66666666666666</v>
      </c>
      <c r="AY15" s="122">
        <f t="shared" si="59"/>
        <v>33.6734693877551</v>
      </c>
      <c r="AZ15" s="122">
        <f t="shared" si="60"/>
        <v>50</v>
      </c>
      <c r="BA15" s="122">
        <f t="shared" si="61"/>
        <v>87.65625</v>
      </c>
      <c r="BB15" s="122" t="e">
        <f t="shared" si="62"/>
        <v>#DIV/0!</v>
      </c>
      <c r="BC15" s="122" t="e">
        <f t="shared" si="63"/>
        <v>#DIV/0!</v>
      </c>
      <c r="BD15" s="122" t="e">
        <f t="shared" si="64"/>
        <v>#DIV/0!</v>
      </c>
      <c r="BE15" s="122" t="e">
        <f t="shared" si="65"/>
        <v>#DIV/0!</v>
      </c>
      <c r="BF15" s="122" t="e">
        <f t="shared" si="66"/>
        <v>#VALUE!</v>
      </c>
      <c r="BG15" s="190" t="e">
        <f t="shared" si="67"/>
        <v>#VALUE!</v>
      </c>
      <c r="BH15" s="186" t="s">
        <v>20</v>
      </c>
      <c r="BI15" s="188" t="s">
        <v>38</v>
      </c>
      <c r="BJ15" s="121">
        <f t="shared" si="14"/>
        <v>3</v>
      </c>
      <c r="BK15" s="179">
        <f t="shared" si="15"/>
        <v>0</v>
      </c>
      <c r="BL15" s="121">
        <f t="shared" si="16"/>
        <v>3</v>
      </c>
      <c r="BM15" s="179">
        <f t="shared" si="17"/>
        <v>32.96</v>
      </c>
      <c r="BN15" s="122">
        <v>3</v>
      </c>
      <c r="BO15" s="251">
        <v>0</v>
      </c>
      <c r="BP15" s="251">
        <v>0</v>
      </c>
      <c r="BQ15" s="251">
        <v>0</v>
      </c>
      <c r="BR15" s="121">
        <v>0</v>
      </c>
      <c r="BS15" s="179">
        <v>0</v>
      </c>
      <c r="BT15" s="121">
        <v>3</v>
      </c>
      <c r="BU15" s="179">
        <f>2.9+2.96+0.6-0.1+26.6</f>
        <v>32.96</v>
      </c>
      <c r="BV15" s="122">
        <v>0</v>
      </c>
      <c r="BW15" s="122">
        <v>0</v>
      </c>
      <c r="BX15" s="122">
        <v>0</v>
      </c>
      <c r="BY15" s="122">
        <v>0</v>
      </c>
      <c r="BZ15" s="187" t="s">
        <v>20</v>
      </c>
      <c r="CA15" s="181" t="s">
        <v>20</v>
      </c>
      <c r="CB15" s="188" t="s">
        <v>38</v>
      </c>
      <c r="CC15" s="189" t="s">
        <v>20</v>
      </c>
      <c r="CD15" s="122">
        <f t="shared" si="18"/>
        <v>75</v>
      </c>
      <c r="CE15" s="122">
        <f t="shared" si="19"/>
        <v>0</v>
      </c>
      <c r="CF15" s="122">
        <f t="shared" si="20"/>
        <v>150</v>
      </c>
      <c r="CG15" s="122">
        <f t="shared" si="21"/>
        <v>586.4768683274021</v>
      </c>
      <c r="CH15" s="122" t="e">
        <f t="shared" si="22"/>
        <v>#DIV/0!</v>
      </c>
      <c r="CI15" s="122" t="e">
        <f t="shared" si="23"/>
        <v>#DIV/0!</v>
      </c>
      <c r="CJ15" s="122">
        <f t="shared" si="24"/>
        <v>0</v>
      </c>
      <c r="CK15" s="122">
        <f t="shared" si="25"/>
        <v>0</v>
      </c>
      <c r="CL15" s="122">
        <f t="shared" si="26"/>
        <v>0</v>
      </c>
      <c r="CM15" s="122">
        <f t="shared" si="27"/>
        <v>0</v>
      </c>
      <c r="CN15" s="122">
        <f t="shared" si="28"/>
        <v>300</v>
      </c>
      <c r="CO15" s="122">
        <f t="shared" si="29"/>
        <v>587.5222816399287</v>
      </c>
      <c r="CP15" s="122" t="e">
        <f t="shared" si="30"/>
        <v>#DIV/0!</v>
      </c>
      <c r="CQ15" s="122" t="e">
        <f t="shared" si="31"/>
        <v>#DIV/0!</v>
      </c>
      <c r="CR15" s="122" t="e">
        <f t="shared" si="32"/>
        <v>#DIV/0!</v>
      </c>
      <c r="CS15" s="122" t="e">
        <f t="shared" si="33"/>
        <v>#DIV/0!</v>
      </c>
      <c r="CT15" s="122"/>
      <c r="CU15" s="191"/>
      <c r="CV15" s="192" t="s">
        <v>38</v>
      </c>
      <c r="CW15" s="121">
        <f t="shared" si="34"/>
        <v>5</v>
      </c>
      <c r="CX15" s="179">
        <f t="shared" si="35"/>
        <v>1.051</v>
      </c>
      <c r="CY15" s="121">
        <f t="shared" si="36"/>
        <v>3</v>
      </c>
      <c r="CZ15" s="179">
        <f t="shared" si="37"/>
        <v>8.700000000000001</v>
      </c>
      <c r="DA15" s="122">
        <v>4</v>
      </c>
      <c r="DB15" s="251">
        <v>0.427</v>
      </c>
      <c r="DC15" s="122">
        <v>0</v>
      </c>
      <c r="DD15" s="122">
        <v>0</v>
      </c>
      <c r="DE15" s="121">
        <v>1</v>
      </c>
      <c r="DF15" s="179">
        <v>0.624</v>
      </c>
      <c r="DG15" s="121">
        <v>3</v>
      </c>
      <c r="DH15" s="179">
        <f>0.62+7.07+1.01</f>
        <v>8.700000000000001</v>
      </c>
      <c r="DI15" s="122">
        <v>0</v>
      </c>
      <c r="DJ15" s="122">
        <v>0</v>
      </c>
      <c r="DK15" s="122">
        <v>0</v>
      </c>
      <c r="DL15" s="122">
        <v>0</v>
      </c>
      <c r="DM15" s="187" t="s">
        <v>20</v>
      </c>
      <c r="DN15" s="181" t="s">
        <v>20</v>
      </c>
      <c r="DO15" s="275" t="s">
        <v>38</v>
      </c>
      <c r="DP15" s="189" t="s">
        <v>20</v>
      </c>
      <c r="DQ15" s="122">
        <f t="shared" si="38"/>
        <v>166.66666666666669</v>
      </c>
      <c r="DR15" s="122"/>
      <c r="DS15" s="122">
        <f t="shared" si="68"/>
        <v>100</v>
      </c>
      <c r="DT15" s="122">
        <f t="shared" si="69"/>
        <v>26.39563106796117</v>
      </c>
      <c r="DU15" s="122">
        <f t="shared" si="40"/>
        <v>133.33333333333331</v>
      </c>
      <c r="DV15" s="122"/>
      <c r="DW15" s="122"/>
      <c r="DX15" s="122"/>
      <c r="DY15" s="122"/>
      <c r="DZ15" s="122"/>
      <c r="EA15" s="122">
        <f>DG15/BT15*100</f>
        <v>100</v>
      </c>
      <c r="EB15" s="122">
        <f>DH15/BU15*100</f>
        <v>26.39563106796117</v>
      </c>
      <c r="EC15" s="122"/>
      <c r="ED15" s="122"/>
      <c r="EE15" s="122"/>
      <c r="EF15" s="122"/>
      <c r="EG15" s="6"/>
      <c r="EH15" s="6"/>
      <c r="EI15" s="192" t="s">
        <v>38</v>
      </c>
      <c r="EJ15" s="121">
        <f t="shared" si="42"/>
        <v>3</v>
      </c>
      <c r="EK15" s="179">
        <f t="shared" si="43"/>
        <v>0.54</v>
      </c>
      <c r="EL15" s="121">
        <f t="shared" si="44"/>
        <v>3</v>
      </c>
      <c r="EM15" s="179">
        <f t="shared" si="45"/>
        <v>3.365</v>
      </c>
      <c r="EN15" s="122">
        <v>3</v>
      </c>
      <c r="EO15" s="251">
        <v>0.54</v>
      </c>
      <c r="EP15" s="122">
        <v>0</v>
      </c>
      <c r="EQ15" s="122">
        <v>0</v>
      </c>
      <c r="ER15" s="121">
        <v>0</v>
      </c>
      <c r="ES15" s="179">
        <v>0</v>
      </c>
      <c r="ET15" s="121">
        <v>3</v>
      </c>
      <c r="EU15" s="179">
        <f>0.737+1.183+1.445</f>
        <v>3.365</v>
      </c>
      <c r="EV15" s="122">
        <v>0</v>
      </c>
      <c r="EW15" s="122">
        <v>0</v>
      </c>
      <c r="EX15" s="122">
        <v>0</v>
      </c>
      <c r="EY15" s="122">
        <v>0</v>
      </c>
      <c r="EZ15" s="187" t="s">
        <v>20</v>
      </c>
      <c r="FA15" s="181" t="s">
        <v>20</v>
      </c>
      <c r="FB15" s="189" t="s">
        <v>20</v>
      </c>
      <c r="FC15" s="121">
        <f t="shared" si="46"/>
        <v>60</v>
      </c>
      <c r="FD15" s="121">
        <f t="shared" si="72"/>
        <v>51.379638439581356</v>
      </c>
      <c r="FE15" s="121">
        <f t="shared" si="73"/>
        <v>100</v>
      </c>
      <c r="FF15" s="121">
        <f t="shared" si="74"/>
        <v>38.678160919540225</v>
      </c>
      <c r="FG15" s="121">
        <f t="shared" si="47"/>
        <v>75</v>
      </c>
      <c r="FH15" s="121">
        <f t="shared" si="75"/>
        <v>126.46370023419205</v>
      </c>
      <c r="FI15" s="121"/>
      <c r="FJ15" s="121"/>
      <c r="FK15" s="121">
        <f t="shared" si="78"/>
        <v>0</v>
      </c>
      <c r="FL15" s="121">
        <f>ES15/DF15*100</f>
        <v>0</v>
      </c>
      <c r="FM15" s="121">
        <f>ET15/DG15*100</f>
        <v>100</v>
      </c>
      <c r="FN15" s="121">
        <f>EU15/DH15*100</f>
        <v>38.678160919540225</v>
      </c>
      <c r="FO15" s="121"/>
      <c r="FP15" s="121"/>
      <c r="FQ15" s="121" t="e">
        <f t="shared" si="48"/>
        <v>#DIV/0!</v>
      </c>
      <c r="FR15" s="121" t="e">
        <f t="shared" si="49"/>
        <v>#DIV/0!</v>
      </c>
      <c r="FS15" s="6"/>
      <c r="FT15" s="281"/>
    </row>
    <row r="16" spans="1:176" ht="12" customHeight="1">
      <c r="A16" s="56" t="s">
        <v>14</v>
      </c>
      <c r="B16" s="27" t="s">
        <v>20</v>
      </c>
      <c r="C16" s="121">
        <f t="shared" si="9"/>
        <v>30</v>
      </c>
      <c r="D16" s="179">
        <f t="shared" si="10"/>
        <v>161.21699999999998</v>
      </c>
      <c r="E16" s="121">
        <f t="shared" si="11"/>
        <v>5</v>
      </c>
      <c r="F16" s="121">
        <f t="shared" si="12"/>
        <v>3.25</v>
      </c>
      <c r="G16" s="122">
        <v>27</v>
      </c>
      <c r="H16" s="251">
        <f>0.08+0.365+2.3+0.066+2.9+0.115+0.491+3.3</f>
        <v>9.616999999999999</v>
      </c>
      <c r="I16" s="122">
        <v>5</v>
      </c>
      <c r="J16" s="251">
        <f>2.5+0.05+0.49+0.01+0.2</f>
        <v>3.25</v>
      </c>
      <c r="K16" s="121">
        <v>3</v>
      </c>
      <c r="L16" s="179">
        <v>151.6</v>
      </c>
      <c r="M16" s="121">
        <v>0</v>
      </c>
      <c r="N16" s="179">
        <v>0</v>
      </c>
      <c r="O16" s="121">
        <v>0</v>
      </c>
      <c r="P16" s="179">
        <v>0</v>
      </c>
      <c r="Q16" s="121">
        <v>0</v>
      </c>
      <c r="R16" s="179">
        <v>0</v>
      </c>
      <c r="S16" s="180" t="s">
        <v>20</v>
      </c>
      <c r="T16" s="181" t="s">
        <v>20</v>
      </c>
      <c r="U16" s="186" t="s">
        <v>20</v>
      </c>
      <c r="V16" s="121">
        <f t="shared" si="13"/>
        <v>24</v>
      </c>
      <c r="W16" s="179">
        <f t="shared" si="13"/>
        <v>50.21</v>
      </c>
      <c r="X16" s="121">
        <f t="shared" si="13"/>
        <v>4</v>
      </c>
      <c r="Y16" s="179">
        <f t="shared" si="13"/>
        <v>9.91</v>
      </c>
      <c r="Z16" s="122">
        <v>21</v>
      </c>
      <c r="AA16" s="251">
        <f>0.159+1.5+0.213+4.7+0.031+0.315+0.022</f>
        <v>6.94</v>
      </c>
      <c r="AB16" s="122">
        <v>2</v>
      </c>
      <c r="AC16" s="251">
        <f>3.1+0.03</f>
        <v>3.13</v>
      </c>
      <c r="AD16" s="121">
        <v>3</v>
      </c>
      <c r="AE16" s="179">
        <f>35+7.7+0.57</f>
        <v>43.27</v>
      </c>
      <c r="AF16" s="121">
        <v>2</v>
      </c>
      <c r="AG16" s="179">
        <f>5.8+0.98</f>
        <v>6.779999999999999</v>
      </c>
      <c r="AH16" s="122">
        <v>0</v>
      </c>
      <c r="AI16" s="122">
        <v>0</v>
      </c>
      <c r="AJ16" s="122">
        <v>0</v>
      </c>
      <c r="AK16" s="122">
        <v>0</v>
      </c>
      <c r="AL16" s="187" t="s">
        <v>20</v>
      </c>
      <c r="AM16" s="181" t="s">
        <v>20</v>
      </c>
      <c r="AN16" s="188" t="s">
        <v>14</v>
      </c>
      <c r="AO16" s="189" t="s">
        <v>20</v>
      </c>
      <c r="AP16" s="121">
        <f t="shared" si="50"/>
        <v>80</v>
      </c>
      <c r="AQ16" s="121">
        <f t="shared" si="51"/>
        <v>31.144358225249203</v>
      </c>
      <c r="AR16" s="121">
        <f t="shared" si="52"/>
        <v>80</v>
      </c>
      <c r="AS16" s="121">
        <f t="shared" si="53"/>
        <v>304.92307692307696</v>
      </c>
      <c r="AT16" s="122">
        <f t="shared" si="54"/>
        <v>77.77777777777779</v>
      </c>
      <c r="AU16" s="122">
        <f t="shared" si="55"/>
        <v>72.16387646875326</v>
      </c>
      <c r="AV16" s="122">
        <f t="shared" si="56"/>
        <v>40</v>
      </c>
      <c r="AW16" s="122">
        <f t="shared" si="57"/>
        <v>96.3076923076923</v>
      </c>
      <c r="AX16" s="122">
        <f t="shared" si="58"/>
        <v>100</v>
      </c>
      <c r="AY16" s="122">
        <f t="shared" si="59"/>
        <v>28.542216358839053</v>
      </c>
      <c r="AZ16" s="122" t="e">
        <f t="shared" si="60"/>
        <v>#DIV/0!</v>
      </c>
      <c r="BA16" s="122" t="e">
        <f t="shared" si="61"/>
        <v>#DIV/0!</v>
      </c>
      <c r="BB16" s="122" t="e">
        <f t="shared" si="62"/>
        <v>#DIV/0!</v>
      </c>
      <c r="BC16" s="122" t="e">
        <f t="shared" si="63"/>
        <v>#DIV/0!</v>
      </c>
      <c r="BD16" s="122" t="e">
        <f t="shared" si="64"/>
        <v>#DIV/0!</v>
      </c>
      <c r="BE16" s="122" t="e">
        <f t="shared" si="65"/>
        <v>#DIV/0!</v>
      </c>
      <c r="BF16" s="122" t="e">
        <f t="shared" si="66"/>
        <v>#VALUE!</v>
      </c>
      <c r="BG16" s="190" t="e">
        <f t="shared" si="67"/>
        <v>#VALUE!</v>
      </c>
      <c r="BH16" s="186" t="s">
        <v>20</v>
      </c>
      <c r="BI16" s="188" t="s">
        <v>14</v>
      </c>
      <c r="BJ16" s="121">
        <f t="shared" si="14"/>
        <v>23</v>
      </c>
      <c r="BK16" s="179">
        <f t="shared" si="15"/>
        <v>294.074</v>
      </c>
      <c r="BL16" s="121">
        <f t="shared" si="16"/>
        <v>3</v>
      </c>
      <c r="BM16" s="179">
        <f t="shared" si="17"/>
        <v>2.9799999999999995</v>
      </c>
      <c r="BN16" s="122">
        <v>19</v>
      </c>
      <c r="BO16" s="251">
        <f>0.568+0.308+2.4+0.041+0.198+0.759</f>
        <v>4.274</v>
      </c>
      <c r="BP16" s="253">
        <v>3</v>
      </c>
      <c r="BQ16" s="251">
        <f>2.8+0.03+0.15</f>
        <v>2.9799999999999995</v>
      </c>
      <c r="BR16" s="121">
        <v>4</v>
      </c>
      <c r="BS16" s="179">
        <f>71+10+5.8+203</f>
        <v>289.8</v>
      </c>
      <c r="BT16" s="122">
        <v>0</v>
      </c>
      <c r="BU16" s="251">
        <v>0</v>
      </c>
      <c r="BV16" s="122">
        <v>0</v>
      </c>
      <c r="BW16" s="122">
        <v>0</v>
      </c>
      <c r="BX16" s="122">
        <v>0</v>
      </c>
      <c r="BY16" s="122">
        <v>0</v>
      </c>
      <c r="BZ16" s="187" t="s">
        <v>20</v>
      </c>
      <c r="CA16" s="181" t="s">
        <v>20</v>
      </c>
      <c r="CB16" s="188" t="s">
        <v>14</v>
      </c>
      <c r="CC16" s="189" t="s">
        <v>20</v>
      </c>
      <c r="CD16" s="122">
        <f t="shared" si="18"/>
        <v>95.83333333333334</v>
      </c>
      <c r="CE16" s="122">
        <f t="shared" si="19"/>
        <v>585.6881099382593</v>
      </c>
      <c r="CF16" s="122">
        <f t="shared" si="20"/>
        <v>75</v>
      </c>
      <c r="CG16" s="122">
        <f t="shared" si="21"/>
        <v>30.07063572149344</v>
      </c>
      <c r="CH16" s="122">
        <f t="shared" si="22"/>
        <v>90.47619047619048</v>
      </c>
      <c r="CI16" s="122">
        <f t="shared" si="23"/>
        <v>61.58501440922189</v>
      </c>
      <c r="CJ16" s="122">
        <f t="shared" si="24"/>
        <v>150</v>
      </c>
      <c r="CK16" s="122">
        <f t="shared" si="25"/>
        <v>95.20766773162939</v>
      </c>
      <c r="CL16" s="122">
        <f t="shared" si="26"/>
        <v>133.33333333333331</v>
      </c>
      <c r="CM16" s="122">
        <f t="shared" si="27"/>
        <v>669.748093367229</v>
      </c>
      <c r="CN16" s="122">
        <f t="shared" si="28"/>
        <v>0</v>
      </c>
      <c r="CO16" s="122">
        <f t="shared" si="29"/>
        <v>0</v>
      </c>
      <c r="CP16" s="122" t="e">
        <f t="shared" si="30"/>
        <v>#DIV/0!</v>
      </c>
      <c r="CQ16" s="122" t="e">
        <f t="shared" si="31"/>
        <v>#DIV/0!</v>
      </c>
      <c r="CR16" s="122" t="e">
        <f t="shared" si="32"/>
        <v>#DIV/0!</v>
      </c>
      <c r="CS16" s="122" t="e">
        <f t="shared" si="33"/>
        <v>#DIV/0!</v>
      </c>
      <c r="CT16" s="122"/>
      <c r="CU16" s="191"/>
      <c r="CV16" s="192" t="s">
        <v>14</v>
      </c>
      <c r="CW16" s="121">
        <f t="shared" si="34"/>
        <v>20</v>
      </c>
      <c r="CX16" s="179">
        <f t="shared" si="35"/>
        <v>138.39</v>
      </c>
      <c r="CY16" s="121">
        <f t="shared" si="36"/>
        <v>4</v>
      </c>
      <c r="CZ16" s="179">
        <f t="shared" si="37"/>
        <v>1.2650000000000001</v>
      </c>
      <c r="DA16" s="122">
        <v>17</v>
      </c>
      <c r="DB16" s="251">
        <f>0.31+0.14+0.05+0.27+0.02+0.01+0.72</f>
        <v>1.52</v>
      </c>
      <c r="DC16" s="122">
        <v>4</v>
      </c>
      <c r="DD16" s="251">
        <f>0.994+0.105+0.038+0.128</f>
        <v>1.2650000000000001</v>
      </c>
      <c r="DE16" s="121">
        <v>3</v>
      </c>
      <c r="DF16" s="179">
        <f>133+3.7+0.17</f>
        <v>136.86999999999998</v>
      </c>
      <c r="DG16" s="121">
        <v>0</v>
      </c>
      <c r="DH16" s="179">
        <v>0</v>
      </c>
      <c r="DI16" s="122">
        <v>0</v>
      </c>
      <c r="DJ16" s="122">
        <v>0</v>
      </c>
      <c r="DK16" s="122">
        <v>0</v>
      </c>
      <c r="DL16" s="122">
        <v>0</v>
      </c>
      <c r="DM16" s="187" t="s">
        <v>20</v>
      </c>
      <c r="DN16" s="181" t="s">
        <v>20</v>
      </c>
      <c r="DO16" s="275" t="s">
        <v>14</v>
      </c>
      <c r="DP16" s="189" t="s">
        <v>20</v>
      </c>
      <c r="DQ16" s="122">
        <f t="shared" si="38"/>
        <v>86.95652173913044</v>
      </c>
      <c r="DR16" s="122">
        <f t="shared" si="39"/>
        <v>47.0595836422125</v>
      </c>
      <c r="DS16" s="122">
        <f t="shared" si="68"/>
        <v>133.33333333333331</v>
      </c>
      <c r="DT16" s="122">
        <f t="shared" si="69"/>
        <v>42.44966442953021</v>
      </c>
      <c r="DU16" s="122">
        <f t="shared" si="40"/>
        <v>89.47368421052632</v>
      </c>
      <c r="DV16" s="122">
        <f t="shared" si="41"/>
        <v>35.56387459054749</v>
      </c>
      <c r="DW16" s="122">
        <f t="shared" si="70"/>
        <v>133.33333333333331</v>
      </c>
      <c r="DX16" s="122">
        <f t="shared" si="71"/>
        <v>42.44966442953021</v>
      </c>
      <c r="DY16" s="122">
        <f>DE16/BR16*100</f>
        <v>75</v>
      </c>
      <c r="DZ16" s="122">
        <f>DF16/BS16*100</f>
        <v>47.22912353347135</v>
      </c>
      <c r="EA16" s="122"/>
      <c r="EB16" s="122"/>
      <c r="EC16" s="122"/>
      <c r="ED16" s="122"/>
      <c r="EE16" s="122"/>
      <c r="EF16" s="122"/>
      <c r="EG16" s="6"/>
      <c r="EH16" s="6"/>
      <c r="EI16" s="192" t="s">
        <v>14</v>
      </c>
      <c r="EJ16" s="121">
        <f t="shared" si="42"/>
        <v>24</v>
      </c>
      <c r="EK16" s="179">
        <f t="shared" si="43"/>
        <v>121.93200000000002</v>
      </c>
      <c r="EL16" s="121">
        <f t="shared" si="44"/>
        <v>3</v>
      </c>
      <c r="EM16" s="179">
        <f t="shared" si="45"/>
        <v>0.99</v>
      </c>
      <c r="EN16" s="122">
        <v>21</v>
      </c>
      <c r="EO16" s="255">
        <f>0.16+0.4+0.39</f>
        <v>0.9500000000000001</v>
      </c>
      <c r="EP16" s="122">
        <v>3</v>
      </c>
      <c r="EQ16" s="255">
        <f>0.12+0.34+0.53</f>
        <v>0.99</v>
      </c>
      <c r="ER16" s="121">
        <v>3</v>
      </c>
      <c r="ES16" s="179">
        <f>111.754+8.7+0.528</f>
        <v>120.98200000000001</v>
      </c>
      <c r="ET16" s="121">
        <v>0</v>
      </c>
      <c r="EU16" s="179">
        <v>0</v>
      </c>
      <c r="EV16" s="122">
        <v>0</v>
      </c>
      <c r="EW16" s="122">
        <v>0</v>
      </c>
      <c r="EX16" s="122">
        <v>0</v>
      </c>
      <c r="EY16" s="122">
        <v>0</v>
      </c>
      <c r="EZ16" s="187" t="s">
        <v>20</v>
      </c>
      <c r="FA16" s="181" t="s">
        <v>20</v>
      </c>
      <c r="FB16" s="189" t="s">
        <v>20</v>
      </c>
      <c r="FC16" s="121">
        <f t="shared" si="46"/>
        <v>120</v>
      </c>
      <c r="FD16" s="121">
        <f t="shared" si="72"/>
        <v>88.10752221981359</v>
      </c>
      <c r="FE16" s="121">
        <f t="shared" si="73"/>
        <v>75</v>
      </c>
      <c r="FF16" s="121">
        <f t="shared" si="74"/>
        <v>78.26086956521738</v>
      </c>
      <c r="FG16" s="121">
        <f t="shared" si="47"/>
        <v>123.52941176470588</v>
      </c>
      <c r="FH16" s="121">
        <f t="shared" si="75"/>
        <v>62.5</v>
      </c>
      <c r="FI16" s="121">
        <f t="shared" si="76"/>
        <v>75</v>
      </c>
      <c r="FJ16" s="121">
        <f t="shared" si="77"/>
        <v>78.26086956521738</v>
      </c>
      <c r="FK16" s="121">
        <f t="shared" si="78"/>
        <v>100</v>
      </c>
      <c r="FL16" s="121">
        <f>ES16/DF16*100</f>
        <v>88.39190472711334</v>
      </c>
      <c r="FM16" s="121"/>
      <c r="FN16" s="121"/>
      <c r="FO16" s="121"/>
      <c r="FP16" s="121"/>
      <c r="FQ16" s="121" t="e">
        <f t="shared" si="48"/>
        <v>#DIV/0!</v>
      </c>
      <c r="FR16" s="121" t="e">
        <f t="shared" si="49"/>
        <v>#DIV/0!</v>
      </c>
      <c r="FS16" s="6"/>
      <c r="FT16" s="281"/>
    </row>
    <row r="17" spans="1:176" ht="43.5" customHeight="1">
      <c r="A17" s="56" t="s">
        <v>22</v>
      </c>
      <c r="B17" s="27" t="s">
        <v>20</v>
      </c>
      <c r="C17" s="121">
        <f t="shared" si="9"/>
        <v>71</v>
      </c>
      <c r="D17" s="179">
        <f t="shared" si="10"/>
        <v>47.62200000000001</v>
      </c>
      <c r="E17" s="121">
        <f t="shared" si="11"/>
        <v>21</v>
      </c>
      <c r="F17" s="121">
        <f t="shared" si="12"/>
        <v>17.339</v>
      </c>
      <c r="G17" s="122">
        <v>68</v>
      </c>
      <c r="H17" s="251">
        <f>0.027+0.065+13+1.9+0.153+0.372+0.082+6.3+0.197+0.122+0.108+0.001+0.014+0.06+0.026+0.23+4+0.007+0.066+1.6+0.021+0.09+0.573+0.319+0.248+0.155+3.2+0.215+0.397+0.347+0.001+1.1+0.073+0.053+1.4+2+1.6</f>
        <v>40.12200000000001</v>
      </c>
      <c r="I17" s="122">
        <v>19</v>
      </c>
      <c r="J17" s="251">
        <f>0.162+0.265+0.107+0.004+0.496+0.585+0.237+0.043+0.575+0.022+0.155+0.158+0.201+0.013+0.629+0.074+0.042+0.019+0.452</f>
        <v>4.238999999999999</v>
      </c>
      <c r="K17" s="121">
        <v>3</v>
      </c>
      <c r="L17" s="252">
        <f>1+2.3+4.2</f>
        <v>7.5</v>
      </c>
      <c r="M17" s="121">
        <v>2</v>
      </c>
      <c r="N17" s="179">
        <v>13.1</v>
      </c>
      <c r="O17" s="121">
        <v>0</v>
      </c>
      <c r="P17" s="179">
        <v>0</v>
      </c>
      <c r="Q17" s="121">
        <v>0</v>
      </c>
      <c r="R17" s="179">
        <v>0</v>
      </c>
      <c r="S17" s="180" t="s">
        <v>20</v>
      </c>
      <c r="T17" s="181" t="s">
        <v>20</v>
      </c>
      <c r="U17" s="186" t="s">
        <v>20</v>
      </c>
      <c r="V17" s="121">
        <f t="shared" si="13"/>
        <v>72</v>
      </c>
      <c r="W17" s="179">
        <f t="shared" si="13"/>
        <v>46.17699999999999</v>
      </c>
      <c r="X17" s="121">
        <f t="shared" si="13"/>
        <v>14</v>
      </c>
      <c r="Y17" s="179">
        <f t="shared" si="13"/>
        <v>10.972999999999999</v>
      </c>
      <c r="Z17" s="122">
        <v>68</v>
      </c>
      <c r="AA17" s="251">
        <f>0.136+1.02+0.17+12+3.2+0.014+4.1+0.07+0.097+0.001+1.6+0.011+0.01+0.043+0.346+0.131+0.95+0.018+0.157+1.7+0.348+0.408+0.067+0.741+0.165+0.205+0.08+1.2+0.001+0.032+0.045+0.012+1.4+0.883+0.026+1.8+1.9</f>
        <v>35.086999999999996</v>
      </c>
      <c r="AB17" s="122">
        <v>13</v>
      </c>
      <c r="AC17" s="251">
        <f>0.778+0.368+0.166+0.041+0.953+4.6+0.232+0.026+0.001+0.374+0.074+2.7+0.3</f>
        <v>10.613</v>
      </c>
      <c r="AD17" s="121">
        <v>4</v>
      </c>
      <c r="AE17" s="179">
        <f>1.1+1.8+0.69+7.5</f>
        <v>11.09</v>
      </c>
      <c r="AF17" s="121">
        <v>1</v>
      </c>
      <c r="AG17" s="179">
        <v>0.36</v>
      </c>
      <c r="AH17" s="122">
        <v>0</v>
      </c>
      <c r="AI17" s="122">
        <v>0</v>
      </c>
      <c r="AJ17" s="122">
        <v>0</v>
      </c>
      <c r="AK17" s="122">
        <v>0</v>
      </c>
      <c r="AL17" s="187" t="s">
        <v>20</v>
      </c>
      <c r="AM17" s="181" t="s">
        <v>20</v>
      </c>
      <c r="AN17" s="188" t="s">
        <v>22</v>
      </c>
      <c r="AO17" s="189" t="s">
        <v>20</v>
      </c>
      <c r="AP17" s="121">
        <f t="shared" si="50"/>
        <v>101.40845070422534</v>
      </c>
      <c r="AQ17" s="121">
        <f t="shared" si="51"/>
        <v>96.96568812733608</v>
      </c>
      <c r="AR17" s="121">
        <f t="shared" si="52"/>
        <v>66.66666666666666</v>
      </c>
      <c r="AS17" s="121">
        <f t="shared" si="53"/>
        <v>63.28507987773227</v>
      </c>
      <c r="AT17" s="122">
        <f t="shared" si="54"/>
        <v>100</v>
      </c>
      <c r="AU17" s="122">
        <f t="shared" si="55"/>
        <v>87.45077513583568</v>
      </c>
      <c r="AV17" s="122">
        <f t="shared" si="56"/>
        <v>68.42105263157895</v>
      </c>
      <c r="AW17" s="122">
        <f t="shared" si="57"/>
        <v>250.36565227648032</v>
      </c>
      <c r="AX17" s="122">
        <f t="shared" si="58"/>
        <v>133.33333333333331</v>
      </c>
      <c r="AY17" s="122">
        <f t="shared" si="59"/>
        <v>147.86666666666665</v>
      </c>
      <c r="AZ17" s="122">
        <f t="shared" si="60"/>
        <v>50</v>
      </c>
      <c r="BA17" s="122">
        <f t="shared" si="61"/>
        <v>2.7480916030534353</v>
      </c>
      <c r="BB17" s="122" t="e">
        <f t="shared" si="62"/>
        <v>#DIV/0!</v>
      </c>
      <c r="BC17" s="122" t="e">
        <f t="shared" si="63"/>
        <v>#DIV/0!</v>
      </c>
      <c r="BD17" s="122" t="e">
        <f t="shared" si="64"/>
        <v>#DIV/0!</v>
      </c>
      <c r="BE17" s="122" t="e">
        <f t="shared" si="65"/>
        <v>#DIV/0!</v>
      </c>
      <c r="BF17" s="122" t="e">
        <f t="shared" si="66"/>
        <v>#VALUE!</v>
      </c>
      <c r="BG17" s="190" t="e">
        <f t="shared" si="67"/>
        <v>#VALUE!</v>
      </c>
      <c r="BH17" s="186" t="s">
        <v>20</v>
      </c>
      <c r="BI17" s="188" t="s">
        <v>22</v>
      </c>
      <c r="BJ17" s="121">
        <f t="shared" si="14"/>
        <v>75</v>
      </c>
      <c r="BK17" s="179">
        <f t="shared" si="15"/>
        <v>97.304</v>
      </c>
      <c r="BL17" s="121">
        <f t="shared" si="16"/>
        <v>8</v>
      </c>
      <c r="BM17" s="179">
        <f t="shared" si="17"/>
        <v>7.629999999999999</v>
      </c>
      <c r="BN17" s="122">
        <v>70</v>
      </c>
      <c r="BO17" s="251">
        <f>63.5+BQ17</f>
        <v>70.81</v>
      </c>
      <c r="BP17" s="122">
        <v>7</v>
      </c>
      <c r="BQ17" s="251">
        <f>0.29+1.7+0.35+0.01+0.11+3+0.05+1.8</f>
        <v>7.309999999999999</v>
      </c>
      <c r="BR17" s="121">
        <v>5</v>
      </c>
      <c r="BS17" s="179">
        <f>0.204+10+6.2+0.09+10</f>
        <v>26.494</v>
      </c>
      <c r="BT17" s="121">
        <v>1</v>
      </c>
      <c r="BU17" s="179">
        <v>0.32</v>
      </c>
      <c r="BV17" s="122">
        <v>0</v>
      </c>
      <c r="BW17" s="122">
        <v>0</v>
      </c>
      <c r="BX17" s="122">
        <v>0</v>
      </c>
      <c r="BY17" s="122">
        <v>0</v>
      </c>
      <c r="BZ17" s="187" t="s">
        <v>20</v>
      </c>
      <c r="CA17" s="181" t="s">
        <v>20</v>
      </c>
      <c r="CB17" s="188" t="s">
        <v>22</v>
      </c>
      <c r="CC17" s="189" t="s">
        <v>20</v>
      </c>
      <c r="CD17" s="122">
        <f t="shared" si="18"/>
        <v>104.16666666666667</v>
      </c>
      <c r="CE17" s="122">
        <f t="shared" si="19"/>
        <v>210.71962232280143</v>
      </c>
      <c r="CF17" s="122">
        <f t="shared" si="20"/>
        <v>57.14285714285714</v>
      </c>
      <c r="CG17" s="122">
        <f t="shared" si="21"/>
        <v>69.53431149184361</v>
      </c>
      <c r="CH17" s="122">
        <f t="shared" si="22"/>
        <v>102.94117647058823</v>
      </c>
      <c r="CI17" s="122">
        <f t="shared" si="23"/>
        <v>201.81263715906178</v>
      </c>
      <c r="CJ17" s="122">
        <f t="shared" si="24"/>
        <v>53.84615384615385</v>
      </c>
      <c r="CK17" s="122">
        <f t="shared" si="25"/>
        <v>68.87779138792047</v>
      </c>
      <c r="CL17" s="122">
        <f t="shared" si="26"/>
        <v>125</v>
      </c>
      <c r="CM17" s="122">
        <f t="shared" si="27"/>
        <v>238.89990982867445</v>
      </c>
      <c r="CN17" s="122">
        <f t="shared" si="28"/>
        <v>100</v>
      </c>
      <c r="CO17" s="122">
        <f t="shared" si="29"/>
        <v>88.8888888888889</v>
      </c>
      <c r="CP17" s="122" t="e">
        <f t="shared" si="30"/>
        <v>#DIV/0!</v>
      </c>
      <c r="CQ17" s="122" t="e">
        <f t="shared" si="31"/>
        <v>#DIV/0!</v>
      </c>
      <c r="CR17" s="122" t="e">
        <f t="shared" si="32"/>
        <v>#DIV/0!</v>
      </c>
      <c r="CS17" s="122" t="e">
        <f t="shared" si="33"/>
        <v>#DIV/0!</v>
      </c>
      <c r="CT17" s="122"/>
      <c r="CU17" s="191"/>
      <c r="CV17" s="192" t="s">
        <v>22</v>
      </c>
      <c r="CW17" s="121">
        <f t="shared" si="34"/>
        <v>73</v>
      </c>
      <c r="CX17" s="179">
        <f t="shared" si="35"/>
        <v>96.763</v>
      </c>
      <c r="CY17" s="121">
        <f t="shared" si="36"/>
        <v>12</v>
      </c>
      <c r="CZ17" s="179">
        <f t="shared" si="37"/>
        <v>4.410000000000001</v>
      </c>
      <c r="DA17" s="122">
        <v>69</v>
      </c>
      <c r="DB17" s="251">
        <f>70.38+DD17</f>
        <v>74.39</v>
      </c>
      <c r="DC17" s="122">
        <v>11</v>
      </c>
      <c r="DD17" s="251">
        <f>0.05+0.52+0.19+0.01+0.52+1.2+0.24+0.85+0.07+0.13+0.23</f>
        <v>4.010000000000001</v>
      </c>
      <c r="DE17" s="121">
        <v>4</v>
      </c>
      <c r="DF17" s="179">
        <f>1.64+5.323+7.02+8.39</f>
        <v>22.373</v>
      </c>
      <c r="DG17" s="121">
        <v>1</v>
      </c>
      <c r="DH17" s="179">
        <v>0.4</v>
      </c>
      <c r="DI17" s="122">
        <v>0</v>
      </c>
      <c r="DJ17" s="122">
        <v>0</v>
      </c>
      <c r="DK17" s="122">
        <v>0</v>
      </c>
      <c r="DL17" s="122">
        <v>0</v>
      </c>
      <c r="DM17" s="187" t="s">
        <v>20</v>
      </c>
      <c r="DN17" s="181" t="s">
        <v>20</v>
      </c>
      <c r="DO17" s="275" t="s">
        <v>22</v>
      </c>
      <c r="DP17" s="189" t="s">
        <v>20</v>
      </c>
      <c r="DQ17" s="122">
        <f t="shared" si="38"/>
        <v>97.33333333333334</v>
      </c>
      <c r="DR17" s="122">
        <f t="shared" si="39"/>
        <v>99.44401052371948</v>
      </c>
      <c r="DS17" s="122">
        <f t="shared" si="68"/>
        <v>150</v>
      </c>
      <c r="DT17" s="122">
        <f t="shared" si="69"/>
        <v>57.798165137614696</v>
      </c>
      <c r="DU17" s="122">
        <f t="shared" si="40"/>
        <v>98.57142857142858</v>
      </c>
      <c r="DV17" s="122">
        <f t="shared" si="41"/>
        <v>105.05578308148567</v>
      </c>
      <c r="DW17" s="122">
        <f t="shared" si="70"/>
        <v>157.14285714285714</v>
      </c>
      <c r="DX17" s="122">
        <f t="shared" si="71"/>
        <v>54.856361149110825</v>
      </c>
      <c r="DY17" s="122">
        <f>DE17/BR17*100</f>
        <v>80</v>
      </c>
      <c r="DZ17" s="122">
        <f>DF17/BS17*100</f>
        <v>84.44553483807655</v>
      </c>
      <c r="EA17" s="122">
        <f>DG17/BT17*100</f>
        <v>100</v>
      </c>
      <c r="EB17" s="122">
        <f>DH17/BU17*100</f>
        <v>125</v>
      </c>
      <c r="EC17" s="122"/>
      <c r="ED17" s="122"/>
      <c r="EE17" s="122"/>
      <c r="EF17" s="122"/>
      <c r="EG17" s="6"/>
      <c r="EH17" s="6"/>
      <c r="EI17" s="192" t="s">
        <v>22</v>
      </c>
      <c r="EJ17" s="121">
        <f t="shared" si="42"/>
        <v>70</v>
      </c>
      <c r="EK17" s="179">
        <f t="shared" si="43"/>
        <v>128.01600000000002</v>
      </c>
      <c r="EL17" s="121">
        <f t="shared" si="44"/>
        <v>14</v>
      </c>
      <c r="EM17" s="179">
        <f t="shared" si="45"/>
        <v>12.52</v>
      </c>
      <c r="EN17" s="122">
        <v>66</v>
      </c>
      <c r="EO17" s="251">
        <f>0.03+0.26+12.756+0.11+1.36+6.19+1.26+0.24+0.22+5.08+0.79+0.04+1.54+2.3+0.07+0.27+0.22+2.16+1.22+0.21+0.93+0.17+22.86+1.09+0.02+0.83+8.16+0.01+0.05+0.03+3.89+1.75+28.54+0.06+0.2</f>
        <v>104.91600000000001</v>
      </c>
      <c r="EP17" s="122">
        <v>14</v>
      </c>
      <c r="EQ17" s="251">
        <f>1.78+0.16+0.95+0.02+0.23+2.64+0.75+0.4+1.61+1.12+1+1.79+0.02+0.05</f>
        <v>12.52</v>
      </c>
      <c r="ER17" s="121">
        <v>4</v>
      </c>
      <c r="ES17" s="179">
        <f>3.65+5.321+5.714+8.415</f>
        <v>23.1</v>
      </c>
      <c r="ET17" s="121">
        <v>0</v>
      </c>
      <c r="EU17" s="179">
        <v>0</v>
      </c>
      <c r="EV17" s="122">
        <v>0</v>
      </c>
      <c r="EW17" s="122">
        <v>0</v>
      </c>
      <c r="EX17" s="122">
        <v>0</v>
      </c>
      <c r="EY17" s="122">
        <v>0</v>
      </c>
      <c r="EZ17" s="187" t="s">
        <v>20</v>
      </c>
      <c r="FA17" s="181" t="s">
        <v>20</v>
      </c>
      <c r="FB17" s="189" t="s">
        <v>20</v>
      </c>
      <c r="FC17" s="121">
        <f t="shared" si="46"/>
        <v>95.8904109589041</v>
      </c>
      <c r="FD17" s="121">
        <f t="shared" si="72"/>
        <v>132.29850252679228</v>
      </c>
      <c r="FE17" s="121">
        <f t="shared" si="73"/>
        <v>116.66666666666667</v>
      </c>
      <c r="FF17" s="121">
        <f t="shared" si="74"/>
        <v>283.9002267573695</v>
      </c>
      <c r="FG17" s="121">
        <f t="shared" si="47"/>
        <v>95.65217391304348</v>
      </c>
      <c r="FH17" s="121">
        <f t="shared" si="75"/>
        <v>141.03508536093562</v>
      </c>
      <c r="FI17" s="121">
        <f t="shared" si="76"/>
        <v>127.27272727272727</v>
      </c>
      <c r="FJ17" s="121">
        <f t="shared" si="77"/>
        <v>312.219451371571</v>
      </c>
      <c r="FK17" s="121">
        <f t="shared" si="78"/>
        <v>100</v>
      </c>
      <c r="FL17" s="121">
        <f>ES17/DF17*100</f>
        <v>103.24945246502482</v>
      </c>
      <c r="FM17" s="121">
        <f>ET17/DG17*100</f>
        <v>0</v>
      </c>
      <c r="FN17" s="121">
        <f>EU17/DH17*100</f>
        <v>0</v>
      </c>
      <c r="FO17" s="121"/>
      <c r="FP17" s="121"/>
      <c r="FQ17" s="121" t="e">
        <f t="shared" si="48"/>
        <v>#DIV/0!</v>
      </c>
      <c r="FR17" s="121" t="e">
        <f t="shared" si="49"/>
        <v>#DIV/0!</v>
      </c>
      <c r="FS17" s="6"/>
      <c r="FT17" s="281"/>
    </row>
    <row r="18" spans="1:176" ht="25.5" customHeight="1">
      <c r="A18" s="56" t="s">
        <v>27</v>
      </c>
      <c r="B18" s="27" t="s">
        <v>20</v>
      </c>
      <c r="C18" s="121">
        <f t="shared" si="9"/>
        <v>26</v>
      </c>
      <c r="D18" s="179">
        <f t="shared" si="10"/>
        <v>6.248</v>
      </c>
      <c r="E18" s="121">
        <f t="shared" si="11"/>
        <v>1</v>
      </c>
      <c r="F18" s="121">
        <f t="shared" si="12"/>
        <v>0.008</v>
      </c>
      <c r="G18" s="121">
        <v>26</v>
      </c>
      <c r="H18" s="179">
        <f>2.3+1.1+1.8+0.761+0.16+0.042+0.085</f>
        <v>6.248</v>
      </c>
      <c r="I18" s="121">
        <v>1</v>
      </c>
      <c r="J18" s="179">
        <v>0.008</v>
      </c>
      <c r="K18" s="122">
        <v>0</v>
      </c>
      <c r="L18" s="251">
        <v>0</v>
      </c>
      <c r="M18" s="122">
        <v>0</v>
      </c>
      <c r="N18" s="251">
        <v>0</v>
      </c>
      <c r="O18" s="121">
        <v>0</v>
      </c>
      <c r="P18" s="179">
        <v>0</v>
      </c>
      <c r="Q18" s="121">
        <v>0</v>
      </c>
      <c r="R18" s="179">
        <v>0</v>
      </c>
      <c r="S18" s="180" t="s">
        <v>20</v>
      </c>
      <c r="T18" s="181" t="s">
        <v>20</v>
      </c>
      <c r="U18" s="186" t="s">
        <v>20</v>
      </c>
      <c r="V18" s="121">
        <f t="shared" si="13"/>
        <v>22</v>
      </c>
      <c r="W18" s="179">
        <f t="shared" si="13"/>
        <v>9.96</v>
      </c>
      <c r="X18" s="121">
        <f t="shared" si="13"/>
        <v>5</v>
      </c>
      <c r="Y18" s="179">
        <f t="shared" si="13"/>
        <v>7.5840000000000005</v>
      </c>
      <c r="Z18" s="121">
        <v>22</v>
      </c>
      <c r="AA18" s="179">
        <f>2.9+0.597+0.012+0.128+6.24+0.083</f>
        <v>9.96</v>
      </c>
      <c r="AB18" s="121">
        <v>5</v>
      </c>
      <c r="AC18" s="179">
        <f>0.349+0.419+0.486+5.8+0.53</f>
        <v>7.5840000000000005</v>
      </c>
      <c r="AD18" s="122">
        <v>0</v>
      </c>
      <c r="AE18" s="251">
        <v>0</v>
      </c>
      <c r="AF18" s="122">
        <v>0</v>
      </c>
      <c r="AG18" s="251">
        <v>0</v>
      </c>
      <c r="AH18" s="122">
        <v>0</v>
      </c>
      <c r="AI18" s="122">
        <v>0</v>
      </c>
      <c r="AJ18" s="122">
        <v>0</v>
      </c>
      <c r="AK18" s="122">
        <v>0</v>
      </c>
      <c r="AL18" s="187" t="s">
        <v>20</v>
      </c>
      <c r="AM18" s="181" t="s">
        <v>20</v>
      </c>
      <c r="AN18" s="188" t="s">
        <v>27</v>
      </c>
      <c r="AO18" s="189" t="s">
        <v>20</v>
      </c>
      <c r="AP18" s="121">
        <f t="shared" si="50"/>
        <v>84.61538461538461</v>
      </c>
      <c r="AQ18" s="121">
        <f t="shared" si="51"/>
        <v>159.4110115236876</v>
      </c>
      <c r="AR18" s="121">
        <f t="shared" si="52"/>
        <v>500</v>
      </c>
      <c r="AS18" s="121">
        <f t="shared" si="53"/>
        <v>94800</v>
      </c>
      <c r="AT18" s="122">
        <f t="shared" si="54"/>
        <v>84.61538461538461</v>
      </c>
      <c r="AU18" s="122">
        <f t="shared" si="55"/>
        <v>159.4110115236876</v>
      </c>
      <c r="AV18" s="122">
        <f t="shared" si="56"/>
        <v>500</v>
      </c>
      <c r="AW18" s="122">
        <f t="shared" si="57"/>
        <v>94800</v>
      </c>
      <c r="AX18" s="122" t="e">
        <f t="shared" si="58"/>
        <v>#DIV/0!</v>
      </c>
      <c r="AY18" s="122" t="e">
        <f t="shared" si="59"/>
        <v>#DIV/0!</v>
      </c>
      <c r="AZ18" s="122" t="e">
        <f t="shared" si="60"/>
        <v>#DIV/0!</v>
      </c>
      <c r="BA18" s="122" t="e">
        <f t="shared" si="61"/>
        <v>#DIV/0!</v>
      </c>
      <c r="BB18" s="122" t="e">
        <f t="shared" si="62"/>
        <v>#DIV/0!</v>
      </c>
      <c r="BC18" s="122" t="e">
        <f t="shared" si="63"/>
        <v>#DIV/0!</v>
      </c>
      <c r="BD18" s="122" t="e">
        <f t="shared" si="64"/>
        <v>#DIV/0!</v>
      </c>
      <c r="BE18" s="122" t="e">
        <f t="shared" si="65"/>
        <v>#DIV/0!</v>
      </c>
      <c r="BF18" s="122" t="e">
        <f t="shared" si="66"/>
        <v>#VALUE!</v>
      </c>
      <c r="BG18" s="190" t="e">
        <f t="shared" si="67"/>
        <v>#VALUE!</v>
      </c>
      <c r="BH18" s="186" t="s">
        <v>20</v>
      </c>
      <c r="BI18" s="188" t="s">
        <v>27</v>
      </c>
      <c r="BJ18" s="121">
        <f t="shared" si="14"/>
        <v>24</v>
      </c>
      <c r="BK18" s="179">
        <f t="shared" si="15"/>
        <v>9.062999999999999</v>
      </c>
      <c r="BL18" s="121">
        <f t="shared" si="16"/>
        <v>3</v>
      </c>
      <c r="BM18" s="179">
        <f t="shared" si="17"/>
        <v>2.0780000000000003</v>
      </c>
      <c r="BN18" s="121">
        <v>24</v>
      </c>
      <c r="BO18" s="179">
        <f>3.3+4.3+0.615+0.451+0.199+0.062+0.136</f>
        <v>9.062999999999999</v>
      </c>
      <c r="BP18" s="252">
        <v>3</v>
      </c>
      <c r="BQ18" s="179">
        <f>0.458+1.1+0.52</f>
        <v>2.0780000000000003</v>
      </c>
      <c r="BR18" s="122">
        <v>0</v>
      </c>
      <c r="BS18" s="251">
        <v>0</v>
      </c>
      <c r="BT18" s="122">
        <v>0</v>
      </c>
      <c r="BU18" s="251">
        <v>0</v>
      </c>
      <c r="BV18" s="122">
        <v>0</v>
      </c>
      <c r="BW18" s="122">
        <v>0</v>
      </c>
      <c r="BX18" s="122">
        <v>0</v>
      </c>
      <c r="BY18" s="122">
        <v>0</v>
      </c>
      <c r="BZ18" s="187" t="s">
        <v>20</v>
      </c>
      <c r="CA18" s="181" t="s">
        <v>20</v>
      </c>
      <c r="CB18" s="188" t="s">
        <v>27</v>
      </c>
      <c r="CC18" s="189" t="s">
        <v>20</v>
      </c>
      <c r="CD18" s="122">
        <f t="shared" si="18"/>
        <v>109.09090909090908</v>
      </c>
      <c r="CE18" s="122">
        <f t="shared" si="19"/>
        <v>90.99397590361444</v>
      </c>
      <c r="CF18" s="122">
        <f t="shared" si="20"/>
        <v>60</v>
      </c>
      <c r="CG18" s="122">
        <f t="shared" si="21"/>
        <v>27.399789029535864</v>
      </c>
      <c r="CH18" s="122">
        <f t="shared" si="22"/>
        <v>109.09090909090908</v>
      </c>
      <c r="CI18" s="122">
        <f t="shared" si="23"/>
        <v>90.99397590361444</v>
      </c>
      <c r="CJ18" s="122">
        <f t="shared" si="24"/>
        <v>60</v>
      </c>
      <c r="CK18" s="122">
        <f t="shared" si="25"/>
        <v>27.399789029535864</v>
      </c>
      <c r="CL18" s="122" t="e">
        <f t="shared" si="26"/>
        <v>#DIV/0!</v>
      </c>
      <c r="CM18" s="122" t="e">
        <f t="shared" si="27"/>
        <v>#DIV/0!</v>
      </c>
      <c r="CN18" s="122" t="e">
        <f t="shared" si="28"/>
        <v>#DIV/0!</v>
      </c>
      <c r="CO18" s="122" t="e">
        <f t="shared" si="29"/>
        <v>#DIV/0!</v>
      </c>
      <c r="CP18" s="122" t="e">
        <f t="shared" si="30"/>
        <v>#DIV/0!</v>
      </c>
      <c r="CQ18" s="122" t="e">
        <f t="shared" si="31"/>
        <v>#DIV/0!</v>
      </c>
      <c r="CR18" s="122" t="e">
        <f t="shared" si="32"/>
        <v>#DIV/0!</v>
      </c>
      <c r="CS18" s="122" t="e">
        <f t="shared" si="33"/>
        <v>#DIV/0!</v>
      </c>
      <c r="CT18" s="122"/>
      <c r="CU18" s="191"/>
      <c r="CV18" s="192" t="s">
        <v>27</v>
      </c>
      <c r="CW18" s="121">
        <f t="shared" si="34"/>
        <v>22</v>
      </c>
      <c r="CX18" s="179">
        <f t="shared" si="35"/>
        <v>10.940000000000001</v>
      </c>
      <c r="CY18" s="121">
        <f t="shared" si="36"/>
        <v>4</v>
      </c>
      <c r="CZ18" s="179">
        <f t="shared" si="37"/>
        <v>0.38</v>
      </c>
      <c r="DA18" s="121">
        <v>22</v>
      </c>
      <c r="DB18" s="179">
        <f>1.8+8.7+0.07+0.05+0.01+0.24+0.02+0.05</f>
        <v>10.940000000000001</v>
      </c>
      <c r="DC18" s="121">
        <v>4</v>
      </c>
      <c r="DD18" s="179">
        <f>0.23+0.06+0.06+0.03</f>
        <v>0.38</v>
      </c>
      <c r="DE18" s="121">
        <v>0</v>
      </c>
      <c r="DF18" s="121">
        <v>0</v>
      </c>
      <c r="DG18" s="121">
        <v>0</v>
      </c>
      <c r="DH18" s="121">
        <v>0</v>
      </c>
      <c r="DI18" s="122">
        <v>0</v>
      </c>
      <c r="DJ18" s="122">
        <v>0</v>
      </c>
      <c r="DK18" s="122">
        <v>0</v>
      </c>
      <c r="DL18" s="122">
        <v>0</v>
      </c>
      <c r="DM18" s="187" t="s">
        <v>20</v>
      </c>
      <c r="DN18" s="181" t="s">
        <v>20</v>
      </c>
      <c r="DO18" s="275" t="s">
        <v>27</v>
      </c>
      <c r="DP18" s="189" t="s">
        <v>20</v>
      </c>
      <c r="DQ18" s="122">
        <f t="shared" si="38"/>
        <v>91.66666666666666</v>
      </c>
      <c r="DR18" s="122">
        <f t="shared" si="39"/>
        <v>120.71058148515948</v>
      </c>
      <c r="DS18" s="122">
        <f t="shared" si="68"/>
        <v>133.33333333333331</v>
      </c>
      <c r="DT18" s="122">
        <f t="shared" si="69"/>
        <v>18.28681424446583</v>
      </c>
      <c r="DU18" s="122">
        <f t="shared" si="40"/>
        <v>91.66666666666666</v>
      </c>
      <c r="DV18" s="122">
        <f t="shared" si="41"/>
        <v>120.71058148515948</v>
      </c>
      <c r="DW18" s="122">
        <f t="shared" si="70"/>
        <v>133.33333333333331</v>
      </c>
      <c r="DX18" s="122">
        <f t="shared" si="71"/>
        <v>18.28681424446583</v>
      </c>
      <c r="DY18" s="122"/>
      <c r="DZ18" s="122"/>
      <c r="EA18" s="122"/>
      <c r="EB18" s="122"/>
      <c r="EC18" s="122"/>
      <c r="ED18" s="122"/>
      <c r="EE18" s="122"/>
      <c r="EF18" s="122"/>
      <c r="EG18" s="6"/>
      <c r="EH18" s="6"/>
      <c r="EI18" s="192" t="s">
        <v>27</v>
      </c>
      <c r="EJ18" s="121">
        <f t="shared" si="42"/>
        <v>19</v>
      </c>
      <c r="EK18" s="179">
        <f t="shared" si="43"/>
        <v>1.53</v>
      </c>
      <c r="EL18" s="121">
        <f t="shared" si="44"/>
        <v>3</v>
      </c>
      <c r="EM18" s="179">
        <f t="shared" si="45"/>
        <v>18.29</v>
      </c>
      <c r="EN18" s="122">
        <v>19</v>
      </c>
      <c r="EO18" s="251">
        <f>1.18+0.05+0.04+0.13+0.05+0.05+0.03</f>
        <v>1.53</v>
      </c>
      <c r="EP18" s="122">
        <v>3</v>
      </c>
      <c r="EQ18" s="251">
        <f>17.96+0.31+0.02</f>
        <v>18.29</v>
      </c>
      <c r="ER18" s="121">
        <v>0</v>
      </c>
      <c r="ES18" s="121">
        <v>0</v>
      </c>
      <c r="ET18" s="121">
        <v>0</v>
      </c>
      <c r="EU18" s="121">
        <v>0</v>
      </c>
      <c r="EV18" s="122">
        <v>0</v>
      </c>
      <c r="EW18" s="122">
        <v>0</v>
      </c>
      <c r="EX18" s="122">
        <v>0</v>
      </c>
      <c r="EY18" s="122">
        <v>0</v>
      </c>
      <c r="EZ18" s="187" t="s">
        <v>20</v>
      </c>
      <c r="FA18" s="181" t="s">
        <v>20</v>
      </c>
      <c r="FB18" s="189" t="s">
        <v>20</v>
      </c>
      <c r="FC18" s="121">
        <f t="shared" si="46"/>
        <v>86.36363636363636</v>
      </c>
      <c r="FD18" s="121">
        <f t="shared" si="72"/>
        <v>13.985374771480801</v>
      </c>
      <c r="FE18" s="121">
        <f t="shared" si="73"/>
        <v>75</v>
      </c>
      <c r="FF18" s="121">
        <f t="shared" si="74"/>
        <v>4813.157894736842</v>
      </c>
      <c r="FG18" s="121">
        <f t="shared" si="47"/>
        <v>86.36363636363636</v>
      </c>
      <c r="FH18" s="121">
        <f t="shared" si="75"/>
        <v>13.985374771480801</v>
      </c>
      <c r="FI18" s="121">
        <f t="shared" si="76"/>
        <v>75</v>
      </c>
      <c r="FJ18" s="121">
        <f t="shared" si="77"/>
        <v>4813.157894736842</v>
      </c>
      <c r="FK18" s="121"/>
      <c r="FL18" s="121"/>
      <c r="FM18" s="121"/>
      <c r="FN18" s="121"/>
      <c r="FO18" s="121"/>
      <c r="FP18" s="121"/>
      <c r="FQ18" s="121" t="e">
        <f t="shared" si="48"/>
        <v>#DIV/0!</v>
      </c>
      <c r="FR18" s="121" t="e">
        <f t="shared" si="49"/>
        <v>#DIV/0!</v>
      </c>
      <c r="FS18" s="6"/>
      <c r="FT18" s="281"/>
    </row>
    <row r="19" spans="1:176" ht="21.75" customHeight="1">
      <c r="A19" s="57" t="s">
        <v>23</v>
      </c>
      <c r="B19" s="27" t="s">
        <v>20</v>
      </c>
      <c r="C19" s="121">
        <f t="shared" si="9"/>
        <v>6</v>
      </c>
      <c r="D19" s="179">
        <f t="shared" si="10"/>
        <v>3.9219999999999997</v>
      </c>
      <c r="E19" s="121">
        <f t="shared" si="11"/>
        <v>4</v>
      </c>
      <c r="F19" s="121">
        <f t="shared" si="12"/>
        <v>3.95</v>
      </c>
      <c r="G19" s="121">
        <v>4</v>
      </c>
      <c r="H19" s="179">
        <f>1.5+0.314+0.01</f>
        <v>1.824</v>
      </c>
      <c r="I19" s="121">
        <v>3</v>
      </c>
      <c r="J19" s="179">
        <f>0.04+1.1+0.01</f>
        <v>1.1500000000000001</v>
      </c>
      <c r="K19" s="121">
        <v>2</v>
      </c>
      <c r="L19" s="252">
        <v>2.098</v>
      </c>
      <c r="M19" s="121">
        <v>1</v>
      </c>
      <c r="N19" s="179">
        <v>2.8</v>
      </c>
      <c r="O19" s="121">
        <v>0</v>
      </c>
      <c r="P19" s="179">
        <v>0</v>
      </c>
      <c r="Q19" s="121">
        <v>0</v>
      </c>
      <c r="R19" s="179">
        <v>0</v>
      </c>
      <c r="S19" s="180" t="s">
        <v>20</v>
      </c>
      <c r="T19" s="181" t="s">
        <v>20</v>
      </c>
      <c r="U19" s="186" t="s">
        <v>20</v>
      </c>
      <c r="V19" s="121">
        <f t="shared" si="13"/>
        <v>0</v>
      </c>
      <c r="W19" s="179">
        <f t="shared" si="13"/>
        <v>0</v>
      </c>
      <c r="X19" s="121">
        <f t="shared" si="13"/>
        <v>7</v>
      </c>
      <c r="Y19" s="179">
        <f t="shared" si="13"/>
        <v>33.761</v>
      </c>
      <c r="Z19" s="121">
        <v>0</v>
      </c>
      <c r="AA19" s="179">
        <v>0</v>
      </c>
      <c r="AB19" s="121">
        <v>5</v>
      </c>
      <c r="AC19" s="179">
        <v>31.321</v>
      </c>
      <c r="AD19" s="121">
        <v>0</v>
      </c>
      <c r="AE19" s="179">
        <v>0</v>
      </c>
      <c r="AF19" s="121">
        <v>2</v>
      </c>
      <c r="AG19" s="179">
        <f>0.74+1.7</f>
        <v>2.44</v>
      </c>
      <c r="AH19" s="122">
        <v>0</v>
      </c>
      <c r="AI19" s="122">
        <v>0</v>
      </c>
      <c r="AJ19" s="122">
        <v>0</v>
      </c>
      <c r="AK19" s="122">
        <v>0</v>
      </c>
      <c r="AL19" s="187" t="s">
        <v>20</v>
      </c>
      <c r="AM19" s="181" t="s">
        <v>20</v>
      </c>
      <c r="AN19" s="193" t="s">
        <v>23</v>
      </c>
      <c r="AO19" s="189" t="s">
        <v>20</v>
      </c>
      <c r="AP19" s="121">
        <f t="shared" si="50"/>
        <v>0</v>
      </c>
      <c r="AQ19" s="121">
        <f t="shared" si="51"/>
        <v>0</v>
      </c>
      <c r="AR19" s="121">
        <f t="shared" si="52"/>
        <v>175</v>
      </c>
      <c r="AS19" s="121">
        <f t="shared" si="53"/>
        <v>854.7088607594936</v>
      </c>
      <c r="AT19" s="122">
        <f t="shared" si="54"/>
        <v>0</v>
      </c>
      <c r="AU19" s="122">
        <f t="shared" si="55"/>
        <v>0</v>
      </c>
      <c r="AV19" s="122">
        <f t="shared" si="56"/>
        <v>166.66666666666669</v>
      </c>
      <c r="AW19" s="122">
        <f t="shared" si="57"/>
        <v>2723.565217391304</v>
      </c>
      <c r="AX19" s="122">
        <f t="shared" si="58"/>
        <v>0</v>
      </c>
      <c r="AY19" s="122">
        <f t="shared" si="59"/>
        <v>0</v>
      </c>
      <c r="AZ19" s="122">
        <f t="shared" si="60"/>
        <v>200</v>
      </c>
      <c r="BA19" s="122">
        <f t="shared" si="61"/>
        <v>87.14285714285714</v>
      </c>
      <c r="BB19" s="122" t="e">
        <f t="shared" si="62"/>
        <v>#DIV/0!</v>
      </c>
      <c r="BC19" s="122" t="e">
        <f t="shared" si="63"/>
        <v>#DIV/0!</v>
      </c>
      <c r="BD19" s="122" t="e">
        <f t="shared" si="64"/>
        <v>#DIV/0!</v>
      </c>
      <c r="BE19" s="122" t="e">
        <f t="shared" si="65"/>
        <v>#DIV/0!</v>
      </c>
      <c r="BF19" s="122" t="e">
        <f t="shared" si="66"/>
        <v>#VALUE!</v>
      </c>
      <c r="BG19" s="190" t="e">
        <f t="shared" si="67"/>
        <v>#VALUE!</v>
      </c>
      <c r="BH19" s="186" t="s">
        <v>20</v>
      </c>
      <c r="BI19" s="193" t="s">
        <v>23</v>
      </c>
      <c r="BJ19" s="121">
        <f t="shared" si="14"/>
        <v>3</v>
      </c>
      <c r="BK19" s="179">
        <f t="shared" si="15"/>
        <v>17.9</v>
      </c>
      <c r="BL19" s="121">
        <f t="shared" si="16"/>
        <v>5</v>
      </c>
      <c r="BM19" s="179">
        <f t="shared" si="17"/>
        <v>5.2</v>
      </c>
      <c r="BN19" s="121">
        <v>3</v>
      </c>
      <c r="BO19" s="179">
        <v>17.9</v>
      </c>
      <c r="BP19" s="252">
        <v>3</v>
      </c>
      <c r="BQ19" s="179">
        <f>1.5+0.04+0.16</f>
        <v>1.7</v>
      </c>
      <c r="BR19" s="121">
        <v>0</v>
      </c>
      <c r="BS19" s="179">
        <v>0</v>
      </c>
      <c r="BT19" s="121">
        <v>2</v>
      </c>
      <c r="BU19" s="179">
        <f>1.2+2.3</f>
        <v>3.5</v>
      </c>
      <c r="BV19" s="122">
        <v>0</v>
      </c>
      <c r="BW19" s="122">
        <v>0</v>
      </c>
      <c r="BX19" s="122">
        <v>0</v>
      </c>
      <c r="BY19" s="122">
        <v>0</v>
      </c>
      <c r="BZ19" s="187" t="s">
        <v>20</v>
      </c>
      <c r="CA19" s="181" t="s">
        <v>20</v>
      </c>
      <c r="CB19" s="193" t="s">
        <v>23</v>
      </c>
      <c r="CC19" s="189" t="s">
        <v>20</v>
      </c>
      <c r="CD19" s="122" t="e">
        <f t="shared" si="18"/>
        <v>#DIV/0!</v>
      </c>
      <c r="CE19" s="122" t="e">
        <f t="shared" si="19"/>
        <v>#DIV/0!</v>
      </c>
      <c r="CF19" s="122">
        <f t="shared" si="20"/>
        <v>71.42857142857143</v>
      </c>
      <c r="CG19" s="122">
        <f t="shared" si="21"/>
        <v>15.402387370042355</v>
      </c>
      <c r="CH19" s="122" t="e">
        <f t="shared" si="22"/>
        <v>#DIV/0!</v>
      </c>
      <c r="CI19" s="122" t="e">
        <f t="shared" si="23"/>
        <v>#DIV/0!</v>
      </c>
      <c r="CJ19" s="122">
        <f t="shared" si="24"/>
        <v>60</v>
      </c>
      <c r="CK19" s="122">
        <f t="shared" si="25"/>
        <v>5.427668337537115</v>
      </c>
      <c r="CL19" s="122" t="e">
        <f t="shared" si="26"/>
        <v>#DIV/0!</v>
      </c>
      <c r="CM19" s="122" t="e">
        <f t="shared" si="27"/>
        <v>#DIV/0!</v>
      </c>
      <c r="CN19" s="122">
        <f t="shared" si="28"/>
        <v>100</v>
      </c>
      <c r="CO19" s="122">
        <f t="shared" si="29"/>
        <v>143.44262295081967</v>
      </c>
      <c r="CP19" s="122" t="e">
        <f t="shared" si="30"/>
        <v>#DIV/0!</v>
      </c>
      <c r="CQ19" s="122" t="e">
        <f t="shared" si="31"/>
        <v>#DIV/0!</v>
      </c>
      <c r="CR19" s="122" t="e">
        <f t="shared" si="32"/>
        <v>#DIV/0!</v>
      </c>
      <c r="CS19" s="122" t="e">
        <f t="shared" si="33"/>
        <v>#DIV/0!</v>
      </c>
      <c r="CT19" s="122"/>
      <c r="CU19" s="191"/>
      <c r="CV19" s="194" t="s">
        <v>23</v>
      </c>
      <c r="CW19" s="121">
        <f t="shared" si="34"/>
        <v>4</v>
      </c>
      <c r="CX19" s="179">
        <f t="shared" si="35"/>
        <v>3.3800000000000003</v>
      </c>
      <c r="CY19" s="121">
        <f t="shared" si="36"/>
        <v>5</v>
      </c>
      <c r="CZ19" s="179">
        <f t="shared" si="37"/>
        <v>17.830000000000002</v>
      </c>
      <c r="DA19" s="122">
        <v>3</v>
      </c>
      <c r="DB19" s="251">
        <v>0.64</v>
      </c>
      <c r="DC19" s="122">
        <v>4</v>
      </c>
      <c r="DD19" s="251">
        <f>2.6+1+13.7+0.03</f>
        <v>17.330000000000002</v>
      </c>
      <c r="DE19" s="121">
        <v>1</v>
      </c>
      <c r="DF19" s="179">
        <v>2.74</v>
      </c>
      <c r="DG19" s="121">
        <v>1</v>
      </c>
      <c r="DH19" s="179">
        <v>0.5</v>
      </c>
      <c r="DI19" s="122">
        <v>0</v>
      </c>
      <c r="DJ19" s="122">
        <v>0</v>
      </c>
      <c r="DK19" s="122">
        <v>0</v>
      </c>
      <c r="DL19" s="122">
        <v>0</v>
      </c>
      <c r="DM19" s="187" t="s">
        <v>20</v>
      </c>
      <c r="DN19" s="181" t="s">
        <v>20</v>
      </c>
      <c r="DO19" s="276" t="s">
        <v>23</v>
      </c>
      <c r="DP19" s="189" t="s">
        <v>20</v>
      </c>
      <c r="DQ19" s="122">
        <f t="shared" si="38"/>
        <v>133.33333333333331</v>
      </c>
      <c r="DR19" s="122">
        <f t="shared" si="39"/>
        <v>18.88268156424581</v>
      </c>
      <c r="DS19" s="122">
        <f t="shared" si="68"/>
        <v>100</v>
      </c>
      <c r="DT19" s="122">
        <f t="shared" si="69"/>
        <v>342.8846153846154</v>
      </c>
      <c r="DU19" s="122">
        <f t="shared" si="40"/>
        <v>100</v>
      </c>
      <c r="DV19" s="122">
        <f t="shared" si="41"/>
        <v>3.575418994413408</v>
      </c>
      <c r="DW19" s="122">
        <f t="shared" si="70"/>
        <v>133.33333333333331</v>
      </c>
      <c r="DX19" s="122"/>
      <c r="DY19" s="122"/>
      <c r="DZ19" s="122"/>
      <c r="EA19" s="122">
        <f>DG19/BT19*100</f>
        <v>50</v>
      </c>
      <c r="EB19" s="122">
        <f>DH19/BU19*100</f>
        <v>14.285714285714285</v>
      </c>
      <c r="EC19" s="122"/>
      <c r="ED19" s="122"/>
      <c r="EE19" s="122"/>
      <c r="EF19" s="122"/>
      <c r="EG19" s="6"/>
      <c r="EH19" s="6"/>
      <c r="EI19" s="194" t="s">
        <v>23</v>
      </c>
      <c r="EJ19" s="121">
        <f t="shared" si="42"/>
        <v>4</v>
      </c>
      <c r="EK19" s="179">
        <f t="shared" si="43"/>
        <v>66.576</v>
      </c>
      <c r="EL19" s="121">
        <f t="shared" si="44"/>
        <v>4</v>
      </c>
      <c r="EM19" s="179">
        <f t="shared" si="45"/>
        <v>1.542</v>
      </c>
      <c r="EN19" s="122">
        <v>3</v>
      </c>
      <c r="EO19" s="251">
        <f>0.43+1.76+5.35+0.1</f>
        <v>7.639999999999999</v>
      </c>
      <c r="EP19" s="122">
        <v>3</v>
      </c>
      <c r="EQ19" s="251">
        <f>0.35+0.43+0.17</f>
        <v>0.9500000000000001</v>
      </c>
      <c r="ER19" s="121">
        <v>1</v>
      </c>
      <c r="ES19" s="179">
        <v>58.936</v>
      </c>
      <c r="ET19" s="121">
        <v>1</v>
      </c>
      <c r="EU19" s="179">
        <v>0.592</v>
      </c>
      <c r="EV19" s="122">
        <v>0</v>
      </c>
      <c r="EW19" s="122">
        <v>0</v>
      </c>
      <c r="EX19" s="122">
        <v>0</v>
      </c>
      <c r="EY19" s="122">
        <v>0</v>
      </c>
      <c r="EZ19" s="187" t="s">
        <v>20</v>
      </c>
      <c r="FA19" s="181" t="s">
        <v>20</v>
      </c>
      <c r="FB19" s="189" t="s">
        <v>20</v>
      </c>
      <c r="FC19" s="121">
        <f t="shared" si="46"/>
        <v>100</v>
      </c>
      <c r="FD19" s="121">
        <f t="shared" si="72"/>
        <v>1969.704142011834</v>
      </c>
      <c r="FE19" s="121">
        <f t="shared" si="73"/>
        <v>80</v>
      </c>
      <c r="FF19" s="121">
        <f t="shared" si="74"/>
        <v>8.648345485137408</v>
      </c>
      <c r="FG19" s="121">
        <f t="shared" si="47"/>
        <v>100</v>
      </c>
      <c r="FH19" s="121">
        <f t="shared" si="75"/>
        <v>1193.7499999999998</v>
      </c>
      <c r="FI19" s="121">
        <f t="shared" si="76"/>
        <v>75</v>
      </c>
      <c r="FJ19" s="121">
        <f t="shared" si="77"/>
        <v>5.481823427582227</v>
      </c>
      <c r="FK19" s="121">
        <f t="shared" si="78"/>
        <v>100</v>
      </c>
      <c r="FL19" s="121"/>
      <c r="FM19" s="121">
        <f>ET19/DG19*100</f>
        <v>100</v>
      </c>
      <c r="FN19" s="121">
        <f>EU19/DH19*100</f>
        <v>118.39999999999999</v>
      </c>
      <c r="FO19" s="121"/>
      <c r="FP19" s="121"/>
      <c r="FQ19" s="121" t="e">
        <f t="shared" si="48"/>
        <v>#DIV/0!</v>
      </c>
      <c r="FR19" s="121" t="e">
        <f t="shared" si="49"/>
        <v>#DIV/0!</v>
      </c>
      <c r="FS19" s="6"/>
      <c r="FT19" s="281"/>
    </row>
    <row r="20" spans="1:176" ht="24" customHeight="1">
      <c r="A20" s="57" t="s">
        <v>24</v>
      </c>
      <c r="B20" s="27" t="s">
        <v>20</v>
      </c>
      <c r="C20" s="121">
        <f t="shared" si="9"/>
        <v>4</v>
      </c>
      <c r="D20" s="179">
        <f t="shared" si="10"/>
        <v>0.04</v>
      </c>
      <c r="E20" s="121">
        <f t="shared" si="11"/>
        <v>0</v>
      </c>
      <c r="F20" s="121">
        <f t="shared" si="12"/>
        <v>0</v>
      </c>
      <c r="G20" s="121">
        <v>4</v>
      </c>
      <c r="H20" s="179">
        <f>0.015+0.019+0.006</f>
        <v>0.04</v>
      </c>
      <c r="I20" s="121">
        <v>0</v>
      </c>
      <c r="J20" s="179">
        <v>0</v>
      </c>
      <c r="K20" s="122">
        <v>0</v>
      </c>
      <c r="L20" s="253">
        <v>0</v>
      </c>
      <c r="M20" s="122">
        <v>0</v>
      </c>
      <c r="N20" s="251">
        <v>0</v>
      </c>
      <c r="O20" s="121">
        <v>0</v>
      </c>
      <c r="P20" s="179">
        <v>0</v>
      </c>
      <c r="Q20" s="121">
        <v>0</v>
      </c>
      <c r="R20" s="179">
        <v>0</v>
      </c>
      <c r="S20" s="180" t="s">
        <v>20</v>
      </c>
      <c r="T20" s="181" t="s">
        <v>20</v>
      </c>
      <c r="U20" s="186" t="s">
        <v>20</v>
      </c>
      <c r="V20" s="121">
        <f t="shared" si="13"/>
        <v>3</v>
      </c>
      <c r="W20" s="179">
        <f t="shared" si="13"/>
        <v>0.19399999999999998</v>
      </c>
      <c r="X20" s="121">
        <f t="shared" si="13"/>
        <v>0</v>
      </c>
      <c r="Y20" s="179">
        <f t="shared" si="13"/>
        <v>0</v>
      </c>
      <c r="Z20" s="121">
        <v>3</v>
      </c>
      <c r="AA20" s="179">
        <f>0.018+0.176</f>
        <v>0.19399999999999998</v>
      </c>
      <c r="AB20" s="121">
        <v>0</v>
      </c>
      <c r="AC20" s="179">
        <v>0</v>
      </c>
      <c r="AD20" s="122">
        <v>0</v>
      </c>
      <c r="AE20" s="251">
        <v>0</v>
      </c>
      <c r="AF20" s="122">
        <v>0</v>
      </c>
      <c r="AG20" s="251">
        <v>0</v>
      </c>
      <c r="AH20" s="122">
        <v>0</v>
      </c>
      <c r="AI20" s="122">
        <v>0</v>
      </c>
      <c r="AJ20" s="122">
        <v>0</v>
      </c>
      <c r="AK20" s="122">
        <v>0</v>
      </c>
      <c r="AL20" s="187" t="s">
        <v>20</v>
      </c>
      <c r="AM20" s="181" t="s">
        <v>20</v>
      </c>
      <c r="AN20" s="193" t="s">
        <v>24</v>
      </c>
      <c r="AO20" s="189" t="s">
        <v>20</v>
      </c>
      <c r="AP20" s="121">
        <f t="shared" si="50"/>
        <v>75</v>
      </c>
      <c r="AQ20" s="121">
        <f t="shared" si="51"/>
        <v>484.99999999999994</v>
      </c>
      <c r="AR20" s="121" t="e">
        <f t="shared" si="52"/>
        <v>#DIV/0!</v>
      </c>
      <c r="AS20" s="121" t="e">
        <f t="shared" si="53"/>
        <v>#DIV/0!</v>
      </c>
      <c r="AT20" s="122">
        <f t="shared" si="54"/>
        <v>75</v>
      </c>
      <c r="AU20" s="122">
        <f t="shared" si="55"/>
        <v>484.99999999999994</v>
      </c>
      <c r="AV20" s="122" t="e">
        <f t="shared" si="56"/>
        <v>#DIV/0!</v>
      </c>
      <c r="AW20" s="122" t="e">
        <f t="shared" si="57"/>
        <v>#DIV/0!</v>
      </c>
      <c r="AX20" s="122" t="e">
        <f t="shared" si="58"/>
        <v>#DIV/0!</v>
      </c>
      <c r="AY20" s="122" t="e">
        <f t="shared" si="59"/>
        <v>#DIV/0!</v>
      </c>
      <c r="AZ20" s="122" t="e">
        <f t="shared" si="60"/>
        <v>#DIV/0!</v>
      </c>
      <c r="BA20" s="122" t="e">
        <f t="shared" si="61"/>
        <v>#DIV/0!</v>
      </c>
      <c r="BB20" s="122" t="e">
        <f t="shared" si="62"/>
        <v>#DIV/0!</v>
      </c>
      <c r="BC20" s="122" t="e">
        <f t="shared" si="63"/>
        <v>#DIV/0!</v>
      </c>
      <c r="BD20" s="122" t="e">
        <f t="shared" si="64"/>
        <v>#DIV/0!</v>
      </c>
      <c r="BE20" s="122" t="e">
        <f t="shared" si="65"/>
        <v>#DIV/0!</v>
      </c>
      <c r="BF20" s="122" t="e">
        <f t="shared" si="66"/>
        <v>#VALUE!</v>
      </c>
      <c r="BG20" s="190" t="e">
        <f t="shared" si="67"/>
        <v>#VALUE!</v>
      </c>
      <c r="BH20" s="186" t="s">
        <v>20</v>
      </c>
      <c r="BI20" s="193" t="s">
        <v>24</v>
      </c>
      <c r="BJ20" s="121">
        <f t="shared" si="14"/>
        <v>2</v>
      </c>
      <c r="BK20" s="179">
        <f t="shared" si="15"/>
        <v>0.187</v>
      </c>
      <c r="BL20" s="121">
        <f t="shared" si="16"/>
        <v>0</v>
      </c>
      <c r="BM20" s="179">
        <f t="shared" si="17"/>
        <v>0</v>
      </c>
      <c r="BN20" s="121">
        <v>2</v>
      </c>
      <c r="BO20" s="179">
        <f>0.013+0.174</f>
        <v>0.187</v>
      </c>
      <c r="BP20" s="121">
        <v>0</v>
      </c>
      <c r="BQ20" s="179">
        <v>0</v>
      </c>
      <c r="BR20" s="122">
        <v>0</v>
      </c>
      <c r="BS20" s="251">
        <v>0</v>
      </c>
      <c r="BT20" s="122">
        <v>0</v>
      </c>
      <c r="BU20" s="251">
        <v>0</v>
      </c>
      <c r="BV20" s="122">
        <v>0</v>
      </c>
      <c r="BW20" s="122">
        <v>0</v>
      </c>
      <c r="BX20" s="122">
        <v>0</v>
      </c>
      <c r="BY20" s="122">
        <v>0</v>
      </c>
      <c r="BZ20" s="187" t="s">
        <v>20</v>
      </c>
      <c r="CA20" s="181" t="s">
        <v>20</v>
      </c>
      <c r="CB20" s="193" t="s">
        <v>24</v>
      </c>
      <c r="CC20" s="189" t="s">
        <v>20</v>
      </c>
      <c r="CD20" s="122">
        <f t="shared" si="18"/>
        <v>66.66666666666666</v>
      </c>
      <c r="CE20" s="122">
        <f t="shared" si="19"/>
        <v>96.39175257731961</v>
      </c>
      <c r="CF20" s="122" t="e">
        <f t="shared" si="20"/>
        <v>#DIV/0!</v>
      </c>
      <c r="CG20" s="122" t="e">
        <f t="shared" si="21"/>
        <v>#DIV/0!</v>
      </c>
      <c r="CH20" s="122">
        <f t="shared" si="22"/>
        <v>66.66666666666666</v>
      </c>
      <c r="CI20" s="122">
        <f t="shared" si="23"/>
        <v>96.39175257731961</v>
      </c>
      <c r="CJ20" s="122" t="e">
        <f t="shared" si="24"/>
        <v>#DIV/0!</v>
      </c>
      <c r="CK20" s="122" t="e">
        <f t="shared" si="25"/>
        <v>#DIV/0!</v>
      </c>
      <c r="CL20" s="122" t="e">
        <f t="shared" si="26"/>
        <v>#DIV/0!</v>
      </c>
      <c r="CM20" s="122" t="e">
        <f t="shared" si="27"/>
        <v>#DIV/0!</v>
      </c>
      <c r="CN20" s="122" t="e">
        <f t="shared" si="28"/>
        <v>#DIV/0!</v>
      </c>
      <c r="CO20" s="122" t="e">
        <f t="shared" si="29"/>
        <v>#DIV/0!</v>
      </c>
      <c r="CP20" s="122" t="e">
        <f t="shared" si="30"/>
        <v>#DIV/0!</v>
      </c>
      <c r="CQ20" s="122" t="e">
        <f t="shared" si="31"/>
        <v>#DIV/0!</v>
      </c>
      <c r="CR20" s="122" t="e">
        <f t="shared" si="32"/>
        <v>#DIV/0!</v>
      </c>
      <c r="CS20" s="122" t="e">
        <f t="shared" si="33"/>
        <v>#DIV/0!</v>
      </c>
      <c r="CT20" s="122"/>
      <c r="CU20" s="191"/>
      <c r="CV20" s="194" t="s">
        <v>24</v>
      </c>
      <c r="CW20" s="121">
        <f t="shared" si="34"/>
        <v>2</v>
      </c>
      <c r="CX20" s="179">
        <f t="shared" si="35"/>
        <v>1.56</v>
      </c>
      <c r="CY20" s="121">
        <f t="shared" si="36"/>
        <v>2</v>
      </c>
      <c r="CZ20" s="179">
        <f t="shared" si="37"/>
        <v>0.12</v>
      </c>
      <c r="DA20" s="122">
        <v>2</v>
      </c>
      <c r="DB20" s="251">
        <v>1.56</v>
      </c>
      <c r="DC20" s="122">
        <v>2</v>
      </c>
      <c r="DD20" s="251">
        <v>0.12</v>
      </c>
      <c r="DE20" s="121">
        <v>0</v>
      </c>
      <c r="DF20" s="121">
        <v>0</v>
      </c>
      <c r="DG20" s="121">
        <v>0</v>
      </c>
      <c r="DH20" s="121">
        <v>0</v>
      </c>
      <c r="DI20" s="122">
        <v>0</v>
      </c>
      <c r="DJ20" s="122">
        <v>0</v>
      </c>
      <c r="DK20" s="122">
        <v>0</v>
      </c>
      <c r="DL20" s="122">
        <v>0</v>
      </c>
      <c r="DM20" s="187" t="s">
        <v>20</v>
      </c>
      <c r="DN20" s="181" t="s">
        <v>20</v>
      </c>
      <c r="DO20" s="276" t="s">
        <v>24</v>
      </c>
      <c r="DP20" s="189" t="s">
        <v>20</v>
      </c>
      <c r="DQ20" s="122">
        <f t="shared" si="38"/>
        <v>100</v>
      </c>
      <c r="DR20" s="122">
        <f t="shared" si="39"/>
        <v>834.2245989304812</v>
      </c>
      <c r="DS20" s="122"/>
      <c r="DT20" s="122"/>
      <c r="DU20" s="122">
        <f t="shared" si="40"/>
        <v>100</v>
      </c>
      <c r="DV20" s="122">
        <f t="shared" si="41"/>
        <v>834.2245989304812</v>
      </c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6"/>
      <c r="EH20" s="6"/>
      <c r="EI20" s="194" t="s">
        <v>24</v>
      </c>
      <c r="EJ20" s="121">
        <f t="shared" si="42"/>
        <v>3</v>
      </c>
      <c r="EK20" s="179">
        <f t="shared" si="43"/>
        <v>4.6</v>
      </c>
      <c r="EL20" s="121">
        <f t="shared" si="44"/>
        <v>1</v>
      </c>
      <c r="EM20" s="179">
        <f t="shared" si="45"/>
        <v>0.01</v>
      </c>
      <c r="EN20" s="122">
        <v>3</v>
      </c>
      <c r="EO20" s="251">
        <f>2.29+2.31</f>
        <v>4.6</v>
      </c>
      <c r="EP20" s="122">
        <v>1</v>
      </c>
      <c r="EQ20" s="251">
        <v>0.01</v>
      </c>
      <c r="ER20" s="121">
        <v>0</v>
      </c>
      <c r="ES20" s="121">
        <v>0</v>
      </c>
      <c r="ET20" s="121">
        <v>0</v>
      </c>
      <c r="EU20" s="121">
        <v>0</v>
      </c>
      <c r="EV20" s="122">
        <v>0</v>
      </c>
      <c r="EW20" s="122">
        <v>0</v>
      </c>
      <c r="EX20" s="122">
        <v>0</v>
      </c>
      <c r="EY20" s="122">
        <v>0</v>
      </c>
      <c r="EZ20" s="187" t="s">
        <v>20</v>
      </c>
      <c r="FA20" s="181" t="s">
        <v>20</v>
      </c>
      <c r="FB20" s="189" t="s">
        <v>20</v>
      </c>
      <c r="FC20" s="121">
        <f t="shared" si="46"/>
        <v>150</v>
      </c>
      <c r="FD20" s="121">
        <f t="shared" si="72"/>
        <v>294.87179487179486</v>
      </c>
      <c r="FE20" s="121">
        <f t="shared" si="73"/>
        <v>50</v>
      </c>
      <c r="FF20" s="121">
        <f t="shared" si="74"/>
        <v>8.333333333333334</v>
      </c>
      <c r="FG20" s="121">
        <f t="shared" si="47"/>
        <v>150</v>
      </c>
      <c r="FH20" s="121">
        <f t="shared" si="75"/>
        <v>294.87179487179486</v>
      </c>
      <c r="FI20" s="121">
        <f t="shared" si="76"/>
        <v>50</v>
      </c>
      <c r="FJ20" s="121">
        <f t="shared" si="77"/>
        <v>8.333333333333334</v>
      </c>
      <c r="FK20" s="121"/>
      <c r="FL20" s="121"/>
      <c r="FM20" s="121"/>
      <c r="FN20" s="121"/>
      <c r="FO20" s="121"/>
      <c r="FP20" s="121"/>
      <c r="FQ20" s="121" t="e">
        <f t="shared" si="48"/>
        <v>#DIV/0!</v>
      </c>
      <c r="FR20" s="121" t="e">
        <f t="shared" si="49"/>
        <v>#DIV/0!</v>
      </c>
      <c r="FS20" s="6"/>
      <c r="FT20" s="281"/>
    </row>
    <row r="21" spans="1:176" ht="32.25" customHeight="1">
      <c r="A21" s="63" t="s">
        <v>28</v>
      </c>
      <c r="B21" s="27" t="s">
        <v>20</v>
      </c>
      <c r="C21" s="121">
        <f t="shared" si="9"/>
        <v>2</v>
      </c>
      <c r="D21" s="179">
        <f t="shared" si="10"/>
        <v>0.003</v>
      </c>
      <c r="E21" s="121">
        <f t="shared" si="11"/>
        <v>1</v>
      </c>
      <c r="F21" s="121">
        <f t="shared" si="12"/>
        <v>0.13</v>
      </c>
      <c r="G21" s="121">
        <v>2</v>
      </c>
      <c r="H21" s="179">
        <v>0.003</v>
      </c>
      <c r="I21" s="121">
        <v>1</v>
      </c>
      <c r="J21" s="179">
        <v>0.13</v>
      </c>
      <c r="K21" s="122">
        <v>0</v>
      </c>
      <c r="L21" s="251">
        <v>0</v>
      </c>
      <c r="M21" s="122">
        <v>0</v>
      </c>
      <c r="N21" s="251">
        <v>0</v>
      </c>
      <c r="O21" s="121">
        <v>0</v>
      </c>
      <c r="P21" s="179">
        <v>0</v>
      </c>
      <c r="Q21" s="121">
        <v>0</v>
      </c>
      <c r="R21" s="179">
        <v>0</v>
      </c>
      <c r="S21" s="180" t="s">
        <v>20</v>
      </c>
      <c r="T21" s="181" t="s">
        <v>20</v>
      </c>
      <c r="U21" s="186" t="s">
        <v>20</v>
      </c>
      <c r="V21" s="121">
        <f t="shared" si="13"/>
        <v>3</v>
      </c>
      <c r="W21" s="179">
        <f t="shared" si="13"/>
        <v>0.061</v>
      </c>
      <c r="X21" s="121">
        <f t="shared" si="13"/>
        <v>0</v>
      </c>
      <c r="Y21" s="179">
        <f t="shared" si="13"/>
        <v>0</v>
      </c>
      <c r="Z21" s="121">
        <v>3</v>
      </c>
      <c r="AA21" s="256">
        <f>0.047+0.014</f>
        <v>0.061</v>
      </c>
      <c r="AB21" s="121">
        <v>0</v>
      </c>
      <c r="AC21" s="179">
        <v>0</v>
      </c>
      <c r="AD21" s="122">
        <v>0</v>
      </c>
      <c r="AE21" s="251">
        <v>0</v>
      </c>
      <c r="AF21" s="122">
        <v>0</v>
      </c>
      <c r="AG21" s="251">
        <v>0</v>
      </c>
      <c r="AH21" s="122">
        <v>0</v>
      </c>
      <c r="AI21" s="122">
        <v>0</v>
      </c>
      <c r="AJ21" s="122">
        <v>0</v>
      </c>
      <c r="AK21" s="122">
        <v>0</v>
      </c>
      <c r="AL21" s="187" t="s">
        <v>20</v>
      </c>
      <c r="AM21" s="181" t="s">
        <v>20</v>
      </c>
      <c r="AN21" s="195" t="s">
        <v>28</v>
      </c>
      <c r="AO21" s="189" t="s">
        <v>20</v>
      </c>
      <c r="AP21" s="121">
        <f t="shared" si="50"/>
        <v>150</v>
      </c>
      <c r="AQ21" s="121">
        <f t="shared" si="51"/>
        <v>2033.3333333333333</v>
      </c>
      <c r="AR21" s="121">
        <f t="shared" si="52"/>
        <v>0</v>
      </c>
      <c r="AS21" s="121">
        <f t="shared" si="53"/>
        <v>0</v>
      </c>
      <c r="AT21" s="122">
        <f t="shared" si="54"/>
        <v>150</v>
      </c>
      <c r="AU21" s="122">
        <f t="shared" si="55"/>
        <v>2033.3333333333333</v>
      </c>
      <c r="AV21" s="122">
        <f t="shared" si="56"/>
        <v>0</v>
      </c>
      <c r="AW21" s="122">
        <f t="shared" si="57"/>
        <v>0</v>
      </c>
      <c r="AX21" s="122" t="e">
        <f t="shared" si="58"/>
        <v>#DIV/0!</v>
      </c>
      <c r="AY21" s="122" t="e">
        <f t="shared" si="59"/>
        <v>#DIV/0!</v>
      </c>
      <c r="AZ21" s="122" t="e">
        <f t="shared" si="60"/>
        <v>#DIV/0!</v>
      </c>
      <c r="BA21" s="122" t="e">
        <f t="shared" si="61"/>
        <v>#DIV/0!</v>
      </c>
      <c r="BB21" s="122" t="e">
        <f t="shared" si="62"/>
        <v>#DIV/0!</v>
      </c>
      <c r="BC21" s="122" t="e">
        <f t="shared" si="63"/>
        <v>#DIV/0!</v>
      </c>
      <c r="BD21" s="122" t="e">
        <f t="shared" si="64"/>
        <v>#DIV/0!</v>
      </c>
      <c r="BE21" s="122" t="e">
        <f t="shared" si="65"/>
        <v>#DIV/0!</v>
      </c>
      <c r="BF21" s="122" t="e">
        <f t="shared" si="66"/>
        <v>#VALUE!</v>
      </c>
      <c r="BG21" s="190" t="e">
        <f t="shared" si="67"/>
        <v>#VALUE!</v>
      </c>
      <c r="BH21" s="186" t="s">
        <v>20</v>
      </c>
      <c r="BI21" s="195" t="s">
        <v>28</v>
      </c>
      <c r="BJ21" s="121">
        <f t="shared" si="14"/>
        <v>2</v>
      </c>
      <c r="BK21" s="179">
        <f t="shared" si="15"/>
        <v>0.314</v>
      </c>
      <c r="BL21" s="121">
        <f t="shared" si="16"/>
        <v>1</v>
      </c>
      <c r="BM21" s="179">
        <f t="shared" si="17"/>
        <v>0.01</v>
      </c>
      <c r="BN21" s="121">
        <v>2</v>
      </c>
      <c r="BO21" s="256">
        <v>0.314</v>
      </c>
      <c r="BP21" s="121">
        <v>1</v>
      </c>
      <c r="BQ21" s="250">
        <v>0.01</v>
      </c>
      <c r="BR21" s="122">
        <v>0</v>
      </c>
      <c r="BS21" s="251">
        <v>0</v>
      </c>
      <c r="BT21" s="122">
        <v>0</v>
      </c>
      <c r="BU21" s="251">
        <v>0</v>
      </c>
      <c r="BV21" s="122">
        <v>0</v>
      </c>
      <c r="BW21" s="122">
        <v>0</v>
      </c>
      <c r="BX21" s="122">
        <v>0</v>
      </c>
      <c r="BY21" s="122">
        <v>0</v>
      </c>
      <c r="BZ21" s="187" t="s">
        <v>20</v>
      </c>
      <c r="CA21" s="181" t="s">
        <v>20</v>
      </c>
      <c r="CB21" s="195" t="s">
        <v>28</v>
      </c>
      <c r="CC21" s="189" t="s">
        <v>20</v>
      </c>
      <c r="CD21" s="122">
        <f t="shared" si="18"/>
        <v>66.66666666666666</v>
      </c>
      <c r="CE21" s="122">
        <f t="shared" si="19"/>
        <v>514.7540983606557</v>
      </c>
      <c r="CF21" s="122" t="e">
        <f t="shared" si="20"/>
        <v>#DIV/0!</v>
      </c>
      <c r="CG21" s="122" t="e">
        <f t="shared" si="21"/>
        <v>#DIV/0!</v>
      </c>
      <c r="CH21" s="122">
        <f t="shared" si="22"/>
        <v>66.66666666666666</v>
      </c>
      <c r="CI21" s="122">
        <f t="shared" si="23"/>
        <v>514.7540983606557</v>
      </c>
      <c r="CJ21" s="122" t="e">
        <f t="shared" si="24"/>
        <v>#DIV/0!</v>
      </c>
      <c r="CK21" s="122" t="e">
        <f t="shared" si="25"/>
        <v>#DIV/0!</v>
      </c>
      <c r="CL21" s="122" t="e">
        <f t="shared" si="26"/>
        <v>#DIV/0!</v>
      </c>
      <c r="CM21" s="122" t="e">
        <f t="shared" si="27"/>
        <v>#DIV/0!</v>
      </c>
      <c r="CN21" s="122" t="e">
        <f t="shared" si="28"/>
        <v>#DIV/0!</v>
      </c>
      <c r="CO21" s="122" t="e">
        <f t="shared" si="29"/>
        <v>#DIV/0!</v>
      </c>
      <c r="CP21" s="122" t="e">
        <f t="shared" si="30"/>
        <v>#DIV/0!</v>
      </c>
      <c r="CQ21" s="122" t="e">
        <f t="shared" si="31"/>
        <v>#DIV/0!</v>
      </c>
      <c r="CR21" s="122" t="e">
        <f t="shared" si="32"/>
        <v>#DIV/0!</v>
      </c>
      <c r="CS21" s="122" t="e">
        <f t="shared" si="33"/>
        <v>#DIV/0!</v>
      </c>
      <c r="CT21" s="122"/>
      <c r="CU21" s="191"/>
      <c r="CV21" s="196" t="s">
        <v>28</v>
      </c>
      <c r="CW21" s="121">
        <f t="shared" si="34"/>
        <v>2</v>
      </c>
      <c r="CX21" s="179">
        <f t="shared" si="35"/>
        <v>0</v>
      </c>
      <c r="CY21" s="121">
        <f t="shared" si="36"/>
        <v>1</v>
      </c>
      <c r="CZ21" s="179">
        <f t="shared" si="37"/>
        <v>0.71</v>
      </c>
      <c r="DA21" s="122">
        <v>2</v>
      </c>
      <c r="DB21" s="257">
        <v>0</v>
      </c>
      <c r="DC21" s="122">
        <v>1</v>
      </c>
      <c r="DD21" s="254">
        <v>0.71</v>
      </c>
      <c r="DE21" s="121">
        <v>0</v>
      </c>
      <c r="DF21" s="121">
        <v>0</v>
      </c>
      <c r="DG21" s="121">
        <v>0</v>
      </c>
      <c r="DH21" s="121">
        <v>0</v>
      </c>
      <c r="DI21" s="122">
        <v>0</v>
      </c>
      <c r="DJ21" s="122">
        <v>0</v>
      </c>
      <c r="DK21" s="122">
        <v>0</v>
      </c>
      <c r="DL21" s="122">
        <v>0</v>
      </c>
      <c r="DM21" s="187" t="s">
        <v>20</v>
      </c>
      <c r="DN21" s="181" t="s">
        <v>20</v>
      </c>
      <c r="DO21" s="277" t="s">
        <v>28</v>
      </c>
      <c r="DP21" s="189" t="s">
        <v>20</v>
      </c>
      <c r="DQ21" s="122">
        <f t="shared" si="38"/>
        <v>100</v>
      </c>
      <c r="DR21" s="122">
        <f t="shared" si="39"/>
        <v>0</v>
      </c>
      <c r="DS21" s="122">
        <f t="shared" si="68"/>
        <v>100</v>
      </c>
      <c r="DT21" s="122"/>
      <c r="DU21" s="122">
        <f t="shared" si="40"/>
        <v>100</v>
      </c>
      <c r="DV21" s="122">
        <f t="shared" si="41"/>
        <v>0</v>
      </c>
      <c r="DW21" s="122">
        <f t="shared" si="70"/>
        <v>100</v>
      </c>
      <c r="DX21" s="122"/>
      <c r="DY21" s="122"/>
      <c r="DZ21" s="122"/>
      <c r="EA21" s="122"/>
      <c r="EB21" s="122"/>
      <c r="EC21" s="122"/>
      <c r="ED21" s="122"/>
      <c r="EE21" s="122"/>
      <c r="EF21" s="122"/>
      <c r="EG21" s="6"/>
      <c r="EH21" s="6"/>
      <c r="EI21" s="196" t="s">
        <v>28</v>
      </c>
      <c r="EJ21" s="121">
        <f t="shared" si="42"/>
        <v>5</v>
      </c>
      <c r="EK21" s="179">
        <f t="shared" si="43"/>
        <v>0.19</v>
      </c>
      <c r="EL21" s="121">
        <f t="shared" si="44"/>
        <v>0</v>
      </c>
      <c r="EM21" s="179">
        <f t="shared" si="45"/>
        <v>0</v>
      </c>
      <c r="EN21" s="122">
        <v>5</v>
      </c>
      <c r="EO21" s="257">
        <v>0.19</v>
      </c>
      <c r="EP21" s="122">
        <v>0</v>
      </c>
      <c r="EQ21" s="254">
        <v>0</v>
      </c>
      <c r="ER21" s="121">
        <v>0</v>
      </c>
      <c r="ES21" s="121">
        <v>0</v>
      </c>
      <c r="ET21" s="121">
        <v>0</v>
      </c>
      <c r="EU21" s="121">
        <v>0</v>
      </c>
      <c r="EV21" s="122">
        <v>0</v>
      </c>
      <c r="EW21" s="122">
        <v>0</v>
      </c>
      <c r="EX21" s="122">
        <v>0</v>
      </c>
      <c r="EY21" s="122">
        <v>0</v>
      </c>
      <c r="EZ21" s="187" t="s">
        <v>20</v>
      </c>
      <c r="FA21" s="181" t="s">
        <v>20</v>
      </c>
      <c r="FB21" s="189" t="s">
        <v>20</v>
      </c>
      <c r="FC21" s="121">
        <f t="shared" si="46"/>
        <v>250</v>
      </c>
      <c r="FD21" s="121"/>
      <c r="FE21" s="121">
        <f t="shared" si="73"/>
        <v>0</v>
      </c>
      <c r="FF21" s="121">
        <f t="shared" si="74"/>
        <v>0</v>
      </c>
      <c r="FG21" s="121">
        <f t="shared" si="47"/>
        <v>250</v>
      </c>
      <c r="FH21" s="121"/>
      <c r="FI21" s="121">
        <f t="shared" si="76"/>
        <v>0</v>
      </c>
      <c r="FJ21" s="121">
        <f t="shared" si="77"/>
        <v>0</v>
      </c>
      <c r="FK21" s="121"/>
      <c r="FL21" s="121"/>
      <c r="FM21" s="121"/>
      <c r="FN21" s="121"/>
      <c r="FO21" s="121"/>
      <c r="FP21" s="121"/>
      <c r="FQ21" s="121" t="e">
        <f t="shared" si="48"/>
        <v>#DIV/0!</v>
      </c>
      <c r="FR21" s="121" t="e">
        <f t="shared" si="49"/>
        <v>#DIV/0!</v>
      </c>
      <c r="FS21" s="6"/>
      <c r="FT21" s="281"/>
    </row>
    <row r="22" spans="1:176" ht="33" customHeight="1">
      <c r="A22" s="56" t="s">
        <v>29</v>
      </c>
      <c r="B22" s="27" t="s">
        <v>20</v>
      </c>
      <c r="C22" s="121">
        <f t="shared" si="9"/>
        <v>6</v>
      </c>
      <c r="D22" s="179">
        <f t="shared" si="10"/>
        <v>4.854000000000001</v>
      </c>
      <c r="E22" s="121">
        <f t="shared" si="11"/>
        <v>1</v>
      </c>
      <c r="F22" s="121">
        <f t="shared" si="12"/>
        <v>0.021</v>
      </c>
      <c r="G22" s="121">
        <v>6</v>
      </c>
      <c r="H22" s="179">
        <f>3.6+0.758+0.496</f>
        <v>4.854000000000001</v>
      </c>
      <c r="I22" s="121">
        <v>1</v>
      </c>
      <c r="J22" s="179">
        <v>0.021</v>
      </c>
      <c r="K22" s="122">
        <v>0</v>
      </c>
      <c r="L22" s="251">
        <v>0</v>
      </c>
      <c r="M22" s="122">
        <v>0</v>
      </c>
      <c r="N22" s="251">
        <v>0</v>
      </c>
      <c r="O22" s="121">
        <v>0</v>
      </c>
      <c r="P22" s="179">
        <v>0</v>
      </c>
      <c r="Q22" s="121">
        <v>0</v>
      </c>
      <c r="R22" s="179">
        <v>0</v>
      </c>
      <c r="S22" s="180" t="s">
        <v>20</v>
      </c>
      <c r="T22" s="181" t="s">
        <v>20</v>
      </c>
      <c r="U22" s="186" t="s">
        <v>20</v>
      </c>
      <c r="V22" s="121">
        <f t="shared" si="13"/>
        <v>5</v>
      </c>
      <c r="W22" s="179">
        <f t="shared" si="13"/>
        <v>1.613</v>
      </c>
      <c r="X22" s="121">
        <f t="shared" si="13"/>
        <v>1</v>
      </c>
      <c r="Y22" s="179">
        <f t="shared" si="13"/>
        <v>0.853</v>
      </c>
      <c r="Z22" s="121">
        <v>5</v>
      </c>
      <c r="AA22" s="179">
        <f>1.2+0.413</f>
        <v>1.613</v>
      </c>
      <c r="AB22" s="121">
        <v>1</v>
      </c>
      <c r="AC22" s="179">
        <v>0.853</v>
      </c>
      <c r="AD22" s="122">
        <v>0</v>
      </c>
      <c r="AE22" s="251">
        <v>0</v>
      </c>
      <c r="AF22" s="122">
        <v>0</v>
      </c>
      <c r="AG22" s="251">
        <v>0</v>
      </c>
      <c r="AH22" s="122">
        <v>0</v>
      </c>
      <c r="AI22" s="122">
        <v>0</v>
      </c>
      <c r="AJ22" s="122">
        <v>0</v>
      </c>
      <c r="AK22" s="122">
        <v>0</v>
      </c>
      <c r="AL22" s="187" t="s">
        <v>20</v>
      </c>
      <c r="AM22" s="181" t="s">
        <v>20</v>
      </c>
      <c r="AN22" s="188" t="s">
        <v>29</v>
      </c>
      <c r="AO22" s="189" t="s">
        <v>20</v>
      </c>
      <c r="AP22" s="121">
        <f t="shared" si="50"/>
        <v>83.33333333333334</v>
      </c>
      <c r="AQ22" s="121">
        <f t="shared" si="51"/>
        <v>33.23032550473835</v>
      </c>
      <c r="AR22" s="121">
        <f t="shared" si="52"/>
        <v>100</v>
      </c>
      <c r="AS22" s="121">
        <f t="shared" si="53"/>
        <v>4061.9047619047615</v>
      </c>
      <c r="AT22" s="122">
        <f t="shared" si="54"/>
        <v>83.33333333333334</v>
      </c>
      <c r="AU22" s="122">
        <f t="shared" si="55"/>
        <v>33.23032550473835</v>
      </c>
      <c r="AV22" s="122">
        <f t="shared" si="56"/>
        <v>100</v>
      </c>
      <c r="AW22" s="122">
        <f t="shared" si="57"/>
        <v>4061.9047619047615</v>
      </c>
      <c r="AX22" s="122" t="e">
        <f t="shared" si="58"/>
        <v>#DIV/0!</v>
      </c>
      <c r="AY22" s="122" t="e">
        <f t="shared" si="59"/>
        <v>#DIV/0!</v>
      </c>
      <c r="AZ22" s="122" t="e">
        <f t="shared" si="60"/>
        <v>#DIV/0!</v>
      </c>
      <c r="BA22" s="122" t="e">
        <f t="shared" si="61"/>
        <v>#DIV/0!</v>
      </c>
      <c r="BB22" s="122" t="e">
        <f t="shared" si="62"/>
        <v>#DIV/0!</v>
      </c>
      <c r="BC22" s="122" t="e">
        <f t="shared" si="63"/>
        <v>#DIV/0!</v>
      </c>
      <c r="BD22" s="122" t="e">
        <f t="shared" si="64"/>
        <v>#DIV/0!</v>
      </c>
      <c r="BE22" s="122" t="e">
        <f t="shared" si="65"/>
        <v>#DIV/0!</v>
      </c>
      <c r="BF22" s="122" t="e">
        <f t="shared" si="66"/>
        <v>#VALUE!</v>
      </c>
      <c r="BG22" s="190" t="e">
        <f t="shared" si="67"/>
        <v>#VALUE!</v>
      </c>
      <c r="BH22" s="186" t="s">
        <v>20</v>
      </c>
      <c r="BI22" s="188" t="s">
        <v>29</v>
      </c>
      <c r="BJ22" s="121">
        <f t="shared" si="14"/>
        <v>1</v>
      </c>
      <c r="BK22" s="179">
        <f t="shared" si="15"/>
        <v>0</v>
      </c>
      <c r="BL22" s="121">
        <f t="shared" si="16"/>
        <v>2</v>
      </c>
      <c r="BM22" s="179">
        <f t="shared" si="17"/>
        <v>2.235</v>
      </c>
      <c r="BN22" s="121">
        <v>1</v>
      </c>
      <c r="BO22" s="179">
        <v>0</v>
      </c>
      <c r="BP22" s="121">
        <v>2</v>
      </c>
      <c r="BQ22" s="179">
        <f>0.835+1.4</f>
        <v>2.235</v>
      </c>
      <c r="BR22" s="122">
        <v>0</v>
      </c>
      <c r="BS22" s="251">
        <v>0</v>
      </c>
      <c r="BT22" s="122">
        <v>0</v>
      </c>
      <c r="BU22" s="251">
        <v>0</v>
      </c>
      <c r="BV22" s="122">
        <v>0</v>
      </c>
      <c r="BW22" s="122">
        <v>0</v>
      </c>
      <c r="BX22" s="122">
        <v>0</v>
      </c>
      <c r="BY22" s="122">
        <v>0</v>
      </c>
      <c r="BZ22" s="187" t="s">
        <v>20</v>
      </c>
      <c r="CA22" s="181" t="s">
        <v>20</v>
      </c>
      <c r="CB22" s="188" t="s">
        <v>29</v>
      </c>
      <c r="CC22" s="189" t="s">
        <v>20</v>
      </c>
      <c r="CD22" s="122">
        <f t="shared" si="18"/>
        <v>20</v>
      </c>
      <c r="CE22" s="122">
        <f t="shared" si="19"/>
        <v>0</v>
      </c>
      <c r="CF22" s="122">
        <f t="shared" si="20"/>
        <v>200</v>
      </c>
      <c r="CG22" s="122">
        <f t="shared" si="21"/>
        <v>262.0164126611958</v>
      </c>
      <c r="CH22" s="122">
        <f t="shared" si="22"/>
        <v>20</v>
      </c>
      <c r="CI22" s="122">
        <f t="shared" si="23"/>
        <v>0</v>
      </c>
      <c r="CJ22" s="122">
        <f t="shared" si="24"/>
        <v>200</v>
      </c>
      <c r="CK22" s="122">
        <f t="shared" si="25"/>
        <v>262.0164126611958</v>
      </c>
      <c r="CL22" s="122" t="e">
        <f t="shared" si="26"/>
        <v>#DIV/0!</v>
      </c>
      <c r="CM22" s="122" t="e">
        <f t="shared" si="27"/>
        <v>#DIV/0!</v>
      </c>
      <c r="CN22" s="122" t="e">
        <f t="shared" si="28"/>
        <v>#DIV/0!</v>
      </c>
      <c r="CO22" s="122" t="e">
        <f t="shared" si="29"/>
        <v>#DIV/0!</v>
      </c>
      <c r="CP22" s="122" t="e">
        <f t="shared" si="30"/>
        <v>#DIV/0!</v>
      </c>
      <c r="CQ22" s="122" t="e">
        <f t="shared" si="31"/>
        <v>#DIV/0!</v>
      </c>
      <c r="CR22" s="122" t="e">
        <f t="shared" si="32"/>
        <v>#DIV/0!</v>
      </c>
      <c r="CS22" s="122" t="e">
        <f t="shared" si="33"/>
        <v>#DIV/0!</v>
      </c>
      <c r="CT22" s="122"/>
      <c r="CU22" s="191"/>
      <c r="CV22" s="192" t="s">
        <v>29</v>
      </c>
      <c r="CW22" s="121">
        <f t="shared" si="34"/>
        <v>0</v>
      </c>
      <c r="CX22" s="179">
        <f t="shared" si="35"/>
        <v>0</v>
      </c>
      <c r="CY22" s="121">
        <f t="shared" si="36"/>
        <v>2</v>
      </c>
      <c r="CZ22" s="179">
        <f t="shared" si="37"/>
        <v>1.16</v>
      </c>
      <c r="DA22" s="122">
        <v>0</v>
      </c>
      <c r="DB22" s="251">
        <v>0</v>
      </c>
      <c r="DC22" s="122">
        <v>2</v>
      </c>
      <c r="DD22" s="251">
        <v>1.16</v>
      </c>
      <c r="DE22" s="121">
        <v>0</v>
      </c>
      <c r="DF22" s="121">
        <v>0</v>
      </c>
      <c r="DG22" s="121">
        <v>0</v>
      </c>
      <c r="DH22" s="121">
        <v>0</v>
      </c>
      <c r="DI22" s="122">
        <v>0</v>
      </c>
      <c r="DJ22" s="122">
        <v>0</v>
      </c>
      <c r="DK22" s="122">
        <v>0</v>
      </c>
      <c r="DL22" s="122">
        <v>0</v>
      </c>
      <c r="DM22" s="187" t="s">
        <v>20</v>
      </c>
      <c r="DN22" s="181" t="s">
        <v>20</v>
      </c>
      <c r="DO22" s="275" t="s">
        <v>29</v>
      </c>
      <c r="DP22" s="189" t="s">
        <v>20</v>
      </c>
      <c r="DQ22" s="122">
        <f t="shared" si="38"/>
        <v>0</v>
      </c>
      <c r="DR22" s="122"/>
      <c r="DS22" s="122">
        <f t="shared" si="68"/>
        <v>100</v>
      </c>
      <c r="DT22" s="122">
        <f t="shared" si="69"/>
        <v>51.90156599552572</v>
      </c>
      <c r="DU22" s="122">
        <f t="shared" si="40"/>
        <v>0</v>
      </c>
      <c r="DV22" s="122"/>
      <c r="DW22" s="122">
        <f t="shared" si="70"/>
        <v>100</v>
      </c>
      <c r="DX22" s="122">
        <f t="shared" si="71"/>
        <v>51.90156599552572</v>
      </c>
      <c r="DY22" s="122"/>
      <c r="DZ22" s="122"/>
      <c r="EA22" s="122"/>
      <c r="EB22" s="122"/>
      <c r="EC22" s="122"/>
      <c r="ED22" s="122"/>
      <c r="EE22" s="122"/>
      <c r="EF22" s="122"/>
      <c r="EG22" s="6"/>
      <c r="EH22" s="6"/>
      <c r="EI22" s="192" t="s">
        <v>29</v>
      </c>
      <c r="EJ22" s="121">
        <f t="shared" si="42"/>
        <v>1</v>
      </c>
      <c r="EK22" s="179">
        <f t="shared" si="43"/>
        <v>0.76</v>
      </c>
      <c r="EL22" s="121">
        <f t="shared" si="44"/>
        <v>1</v>
      </c>
      <c r="EM22" s="179">
        <f t="shared" si="45"/>
        <v>0.96</v>
      </c>
      <c r="EN22" s="122">
        <v>1</v>
      </c>
      <c r="EO22" s="251">
        <v>0.76</v>
      </c>
      <c r="EP22" s="122">
        <v>1</v>
      </c>
      <c r="EQ22" s="251">
        <v>0.96</v>
      </c>
      <c r="ER22" s="121">
        <v>0</v>
      </c>
      <c r="ES22" s="121">
        <v>0</v>
      </c>
      <c r="ET22" s="121">
        <v>0</v>
      </c>
      <c r="EU22" s="121">
        <v>0</v>
      </c>
      <c r="EV22" s="122">
        <v>0</v>
      </c>
      <c r="EW22" s="122">
        <v>0</v>
      </c>
      <c r="EX22" s="122">
        <v>0</v>
      </c>
      <c r="EY22" s="122">
        <v>0</v>
      </c>
      <c r="EZ22" s="187" t="s">
        <v>20</v>
      </c>
      <c r="FA22" s="181" t="s">
        <v>20</v>
      </c>
      <c r="FB22" s="189" t="s">
        <v>20</v>
      </c>
      <c r="FC22" s="121"/>
      <c r="FD22" s="121"/>
      <c r="FE22" s="121">
        <f t="shared" si="73"/>
        <v>50</v>
      </c>
      <c r="FF22" s="121">
        <f t="shared" si="74"/>
        <v>82.75862068965517</v>
      </c>
      <c r="FG22" s="121"/>
      <c r="FH22" s="121"/>
      <c r="FI22" s="121">
        <f t="shared" si="76"/>
        <v>50</v>
      </c>
      <c r="FJ22" s="121">
        <f t="shared" si="77"/>
        <v>82.75862068965517</v>
      </c>
      <c r="FK22" s="121"/>
      <c r="FL22" s="121"/>
      <c r="FM22" s="121"/>
      <c r="FN22" s="121"/>
      <c r="FO22" s="121"/>
      <c r="FP22" s="121"/>
      <c r="FQ22" s="121" t="e">
        <f t="shared" si="48"/>
        <v>#DIV/0!</v>
      </c>
      <c r="FR22" s="121" t="e">
        <f t="shared" si="49"/>
        <v>#DIV/0!</v>
      </c>
      <c r="FS22" s="6"/>
      <c r="FT22" s="281"/>
    </row>
    <row r="23" spans="1:176" ht="42" customHeight="1">
      <c r="A23" s="56" t="s">
        <v>25</v>
      </c>
      <c r="B23" s="27" t="s">
        <v>20</v>
      </c>
      <c r="C23" s="121">
        <f t="shared" si="9"/>
        <v>22</v>
      </c>
      <c r="D23" s="179">
        <f t="shared" si="10"/>
        <v>38.209999999999994</v>
      </c>
      <c r="E23" s="121">
        <f t="shared" si="11"/>
        <v>12</v>
      </c>
      <c r="F23" s="121">
        <f t="shared" si="12"/>
        <v>23.130000000000003</v>
      </c>
      <c r="G23" s="121">
        <v>21</v>
      </c>
      <c r="H23" s="179">
        <f>1.2+7.9+0.14+3.6+0.99+16+6.6+0.1+0.02+0.76+0.04+0.26+0.55</f>
        <v>38.16</v>
      </c>
      <c r="I23" s="121">
        <v>10</v>
      </c>
      <c r="J23" s="179">
        <f>1+2.5+0.71+0.07+2.4+0.47+0.62+0.19+0.2+0.07</f>
        <v>8.23</v>
      </c>
      <c r="K23" s="121">
        <v>1</v>
      </c>
      <c r="L23" s="252">
        <v>0.05</v>
      </c>
      <c r="M23" s="121">
        <v>2</v>
      </c>
      <c r="N23" s="179">
        <f>8.9+6</f>
        <v>14.9</v>
      </c>
      <c r="O23" s="121">
        <v>0</v>
      </c>
      <c r="P23" s="179">
        <v>0</v>
      </c>
      <c r="Q23" s="121">
        <v>0</v>
      </c>
      <c r="R23" s="179">
        <v>0</v>
      </c>
      <c r="S23" s="180" t="s">
        <v>20</v>
      </c>
      <c r="T23" s="181" t="s">
        <v>20</v>
      </c>
      <c r="U23" s="186" t="s">
        <v>20</v>
      </c>
      <c r="V23" s="121">
        <f t="shared" si="13"/>
        <v>19</v>
      </c>
      <c r="W23" s="179">
        <f t="shared" si="13"/>
        <v>28.076</v>
      </c>
      <c r="X23" s="121">
        <f t="shared" si="13"/>
        <v>13</v>
      </c>
      <c r="Y23" s="179">
        <f t="shared" si="13"/>
        <v>16.98</v>
      </c>
      <c r="Z23" s="121">
        <v>19</v>
      </c>
      <c r="AA23" s="179">
        <f>3.9+3.4+6.4+7.4+0.112+0.003+1.3+0.125+3.8+0.143+0.022+0.802+0.669</f>
        <v>28.076</v>
      </c>
      <c r="AB23" s="121">
        <v>11</v>
      </c>
      <c r="AC23" s="179">
        <f>0.21+6.9+0.16+1.4+0.79+0.07+0.49+0.29+0.98+1.1+0.67</f>
        <v>13.06</v>
      </c>
      <c r="AD23" s="121">
        <v>0</v>
      </c>
      <c r="AE23" s="252">
        <v>0</v>
      </c>
      <c r="AF23" s="121">
        <v>2</v>
      </c>
      <c r="AG23" s="179">
        <v>3.92</v>
      </c>
      <c r="AH23" s="122">
        <v>0</v>
      </c>
      <c r="AI23" s="122">
        <v>0</v>
      </c>
      <c r="AJ23" s="122">
        <v>0</v>
      </c>
      <c r="AK23" s="122">
        <v>0</v>
      </c>
      <c r="AL23" s="187" t="s">
        <v>20</v>
      </c>
      <c r="AM23" s="181" t="s">
        <v>20</v>
      </c>
      <c r="AN23" s="188" t="s">
        <v>25</v>
      </c>
      <c r="AO23" s="189" t="s">
        <v>20</v>
      </c>
      <c r="AP23" s="121">
        <f t="shared" si="50"/>
        <v>86.36363636363636</v>
      </c>
      <c r="AQ23" s="121">
        <f t="shared" si="51"/>
        <v>73.47814708191575</v>
      </c>
      <c r="AR23" s="121">
        <f t="shared" si="52"/>
        <v>108.33333333333333</v>
      </c>
      <c r="AS23" s="121">
        <f t="shared" si="53"/>
        <v>73.41115434500648</v>
      </c>
      <c r="AT23" s="122">
        <f t="shared" si="54"/>
        <v>90.47619047619048</v>
      </c>
      <c r="AU23" s="122">
        <f t="shared" si="55"/>
        <v>73.57442348008387</v>
      </c>
      <c r="AV23" s="122">
        <f t="shared" si="56"/>
        <v>110.00000000000001</v>
      </c>
      <c r="AW23" s="122">
        <f t="shared" si="57"/>
        <v>158.68772782503038</v>
      </c>
      <c r="AX23" s="122">
        <f t="shared" si="58"/>
        <v>0</v>
      </c>
      <c r="AY23" s="122">
        <f t="shared" si="59"/>
        <v>0</v>
      </c>
      <c r="AZ23" s="122">
        <f t="shared" si="60"/>
        <v>100</v>
      </c>
      <c r="BA23" s="122">
        <f t="shared" si="61"/>
        <v>26.308724832214764</v>
      </c>
      <c r="BB23" s="122" t="e">
        <f t="shared" si="62"/>
        <v>#DIV/0!</v>
      </c>
      <c r="BC23" s="122" t="e">
        <f t="shared" si="63"/>
        <v>#DIV/0!</v>
      </c>
      <c r="BD23" s="122" t="e">
        <f t="shared" si="64"/>
        <v>#DIV/0!</v>
      </c>
      <c r="BE23" s="122" t="e">
        <f t="shared" si="65"/>
        <v>#DIV/0!</v>
      </c>
      <c r="BF23" s="122" t="e">
        <f t="shared" si="66"/>
        <v>#VALUE!</v>
      </c>
      <c r="BG23" s="190" t="e">
        <f t="shared" si="67"/>
        <v>#VALUE!</v>
      </c>
      <c r="BH23" s="186" t="s">
        <v>20</v>
      </c>
      <c r="BI23" s="188" t="s">
        <v>25</v>
      </c>
      <c r="BJ23" s="121">
        <f t="shared" si="14"/>
        <v>14</v>
      </c>
      <c r="BK23" s="179">
        <f t="shared" si="15"/>
        <v>27.210000000000004</v>
      </c>
      <c r="BL23" s="121">
        <f t="shared" si="16"/>
        <v>17</v>
      </c>
      <c r="BM23" s="179">
        <f t="shared" si="17"/>
        <v>22.43</v>
      </c>
      <c r="BN23" s="121">
        <v>14</v>
      </c>
      <c r="BO23" s="179">
        <f>2.3+13+3.3+1.2+0.01+0.16+6.9+0.13+0.03+0.18</f>
        <v>27.210000000000004</v>
      </c>
      <c r="BP23" s="252">
        <v>15</v>
      </c>
      <c r="BQ23" s="179">
        <f>0.47+0.52+7.9+0.95+0.09+0.01+0.09+0.06+0.23+0.09+6.3+0.88+0.53+0.67+0.13</f>
        <v>18.92</v>
      </c>
      <c r="BR23" s="121">
        <v>0</v>
      </c>
      <c r="BS23" s="252">
        <v>0</v>
      </c>
      <c r="BT23" s="121">
        <v>2</v>
      </c>
      <c r="BU23" s="179">
        <f>3.5+0.01</f>
        <v>3.51</v>
      </c>
      <c r="BV23" s="122">
        <v>0</v>
      </c>
      <c r="BW23" s="122">
        <v>0</v>
      </c>
      <c r="BX23" s="122">
        <v>0</v>
      </c>
      <c r="BY23" s="122">
        <v>0</v>
      </c>
      <c r="BZ23" s="187" t="s">
        <v>20</v>
      </c>
      <c r="CA23" s="181" t="s">
        <v>20</v>
      </c>
      <c r="CB23" s="188" t="s">
        <v>25</v>
      </c>
      <c r="CC23" s="189" t="s">
        <v>20</v>
      </c>
      <c r="CD23" s="122">
        <f t="shared" si="18"/>
        <v>73.68421052631578</v>
      </c>
      <c r="CE23" s="122">
        <f t="shared" si="19"/>
        <v>96.91551503063116</v>
      </c>
      <c r="CF23" s="122">
        <f t="shared" si="20"/>
        <v>130.76923076923077</v>
      </c>
      <c r="CG23" s="122">
        <f t="shared" si="21"/>
        <v>132.09658421672557</v>
      </c>
      <c r="CH23" s="122">
        <f t="shared" si="22"/>
        <v>73.68421052631578</v>
      </c>
      <c r="CI23" s="122">
        <f t="shared" si="23"/>
        <v>96.91551503063116</v>
      </c>
      <c r="CJ23" s="122">
        <f t="shared" si="24"/>
        <v>136.36363636363635</v>
      </c>
      <c r="CK23" s="122">
        <f t="shared" si="25"/>
        <v>144.86983154670753</v>
      </c>
      <c r="CL23" s="122" t="e">
        <f t="shared" si="26"/>
        <v>#DIV/0!</v>
      </c>
      <c r="CM23" s="122" t="e">
        <f t="shared" si="27"/>
        <v>#DIV/0!</v>
      </c>
      <c r="CN23" s="122">
        <f t="shared" si="28"/>
        <v>100</v>
      </c>
      <c r="CO23" s="122">
        <f t="shared" si="29"/>
        <v>89.5408163265306</v>
      </c>
      <c r="CP23" s="122" t="e">
        <f t="shared" si="30"/>
        <v>#DIV/0!</v>
      </c>
      <c r="CQ23" s="122" t="e">
        <f t="shared" si="31"/>
        <v>#DIV/0!</v>
      </c>
      <c r="CR23" s="122" t="e">
        <f t="shared" si="32"/>
        <v>#DIV/0!</v>
      </c>
      <c r="CS23" s="122" t="e">
        <f t="shared" si="33"/>
        <v>#DIV/0!</v>
      </c>
      <c r="CT23" s="122"/>
      <c r="CU23" s="191"/>
      <c r="CV23" s="192" t="s">
        <v>25</v>
      </c>
      <c r="CW23" s="121">
        <f t="shared" si="34"/>
        <v>15</v>
      </c>
      <c r="CX23" s="179">
        <f t="shared" si="35"/>
        <v>42.129999999999995</v>
      </c>
      <c r="CY23" s="121">
        <f t="shared" si="36"/>
        <v>13</v>
      </c>
      <c r="CZ23" s="179">
        <f t="shared" si="37"/>
        <v>7.542999999999999</v>
      </c>
      <c r="DA23" s="122">
        <v>14</v>
      </c>
      <c r="DB23" s="251">
        <f>5.4+10.5+0.09+0.14+0.22+17.8+0.43+0.05+0.4</f>
        <v>35.029999999999994</v>
      </c>
      <c r="DC23" s="122">
        <v>12</v>
      </c>
      <c r="DD23" s="251">
        <f>2.7+0.64+0.61+0.21+0.01+0.1+0.003+0.24+0.35+1.6+0.04+0.44</f>
        <v>6.943</v>
      </c>
      <c r="DE23" s="121">
        <v>1</v>
      </c>
      <c r="DF23" s="252">
        <v>7.1</v>
      </c>
      <c r="DG23" s="121">
        <v>1</v>
      </c>
      <c r="DH23" s="179">
        <v>0.6</v>
      </c>
      <c r="DI23" s="122">
        <v>0</v>
      </c>
      <c r="DJ23" s="122">
        <v>0</v>
      </c>
      <c r="DK23" s="122">
        <v>0</v>
      </c>
      <c r="DL23" s="122">
        <v>0</v>
      </c>
      <c r="DM23" s="187" t="s">
        <v>20</v>
      </c>
      <c r="DN23" s="181" t="s">
        <v>20</v>
      </c>
      <c r="DO23" s="275" t="s">
        <v>25</v>
      </c>
      <c r="DP23" s="189" t="s">
        <v>20</v>
      </c>
      <c r="DQ23" s="122">
        <f t="shared" si="38"/>
        <v>107.14285714285714</v>
      </c>
      <c r="DR23" s="122">
        <f t="shared" si="39"/>
        <v>154.8327820654171</v>
      </c>
      <c r="DS23" s="122">
        <f t="shared" si="68"/>
        <v>76.47058823529412</v>
      </c>
      <c r="DT23" s="122">
        <f t="shared" si="69"/>
        <v>33.62906821221578</v>
      </c>
      <c r="DU23" s="122">
        <f t="shared" si="40"/>
        <v>100</v>
      </c>
      <c r="DV23" s="122">
        <f t="shared" si="41"/>
        <v>128.73943403160598</v>
      </c>
      <c r="DW23" s="122">
        <f t="shared" si="70"/>
        <v>80</v>
      </c>
      <c r="DX23" s="122">
        <f t="shared" si="71"/>
        <v>36.696617336152215</v>
      </c>
      <c r="DY23" s="122"/>
      <c r="DZ23" s="122"/>
      <c r="EA23" s="122">
        <f>DG23/BT23*100</f>
        <v>50</v>
      </c>
      <c r="EB23" s="122">
        <f>DH23/BU23*100</f>
        <v>17.094017094017094</v>
      </c>
      <c r="EC23" s="122"/>
      <c r="ED23" s="122"/>
      <c r="EE23" s="122"/>
      <c r="EF23" s="122"/>
      <c r="EG23" s="6"/>
      <c r="EH23" s="6"/>
      <c r="EI23" s="192" t="s">
        <v>25</v>
      </c>
      <c r="EJ23" s="121">
        <f t="shared" si="42"/>
        <v>15</v>
      </c>
      <c r="EK23" s="179">
        <f t="shared" si="43"/>
        <v>26.969</v>
      </c>
      <c r="EL23" s="121">
        <f t="shared" si="44"/>
        <v>12</v>
      </c>
      <c r="EM23" s="179">
        <f t="shared" si="45"/>
        <v>7.7989999999999995</v>
      </c>
      <c r="EN23" s="122">
        <v>14</v>
      </c>
      <c r="EO23" s="251">
        <f>3.76+9.86+0.41+0.43+0.006+0.94+0.88+3.6+5.44</f>
        <v>25.326</v>
      </c>
      <c r="EP23" s="122">
        <v>11</v>
      </c>
      <c r="EQ23" s="251">
        <f>4.24+0.84+0.41+0.02+0.43+0.01+0.16+0.27+0.61+0.55+0.25</f>
        <v>7.789999999999999</v>
      </c>
      <c r="ER23" s="121">
        <v>1</v>
      </c>
      <c r="ES23" s="252">
        <v>1.643</v>
      </c>
      <c r="ET23" s="121">
        <v>1</v>
      </c>
      <c r="EU23" s="179">
        <v>0.009</v>
      </c>
      <c r="EV23" s="122">
        <v>0</v>
      </c>
      <c r="EW23" s="122">
        <v>0</v>
      </c>
      <c r="EX23" s="122">
        <v>0</v>
      </c>
      <c r="EY23" s="122">
        <v>0</v>
      </c>
      <c r="EZ23" s="187" t="s">
        <v>20</v>
      </c>
      <c r="FA23" s="181" t="s">
        <v>20</v>
      </c>
      <c r="FB23" s="189" t="s">
        <v>20</v>
      </c>
      <c r="FC23" s="121">
        <f t="shared" si="46"/>
        <v>100</v>
      </c>
      <c r="FD23" s="121">
        <f t="shared" si="72"/>
        <v>64.01376691193924</v>
      </c>
      <c r="FE23" s="121">
        <f t="shared" si="73"/>
        <v>92.3076923076923</v>
      </c>
      <c r="FF23" s="121">
        <f t="shared" si="74"/>
        <v>103.3938751160016</v>
      </c>
      <c r="FG23" s="121">
        <f t="shared" si="47"/>
        <v>100</v>
      </c>
      <c r="FH23" s="121">
        <f t="shared" si="75"/>
        <v>72.29803025977735</v>
      </c>
      <c r="FI23" s="121">
        <f t="shared" si="76"/>
        <v>91.66666666666666</v>
      </c>
      <c r="FJ23" s="121">
        <f t="shared" si="77"/>
        <v>112.19933746219213</v>
      </c>
      <c r="FK23" s="121">
        <f t="shared" si="78"/>
        <v>100</v>
      </c>
      <c r="FL23" s="121">
        <f>ES23/DF23*100</f>
        <v>23.140845070422536</v>
      </c>
      <c r="FM23" s="121">
        <f>ET23/DG23*100</f>
        <v>100</v>
      </c>
      <c r="FN23" s="121">
        <f>EU23/DH23*100</f>
        <v>1.5</v>
      </c>
      <c r="FO23" s="121"/>
      <c r="FP23" s="121"/>
      <c r="FQ23" s="121" t="e">
        <f t="shared" si="48"/>
        <v>#DIV/0!</v>
      </c>
      <c r="FR23" s="121" t="e">
        <f t="shared" si="49"/>
        <v>#DIV/0!</v>
      </c>
      <c r="FS23" s="6"/>
      <c r="FT23" s="281"/>
    </row>
    <row r="24" spans="1:176" ht="33.75" customHeight="1">
      <c r="A24" s="56" t="s">
        <v>15</v>
      </c>
      <c r="B24" s="27" t="s">
        <v>20</v>
      </c>
      <c r="C24" s="121">
        <f t="shared" si="9"/>
        <v>15</v>
      </c>
      <c r="D24" s="179">
        <f t="shared" si="10"/>
        <v>1.861</v>
      </c>
      <c r="E24" s="121">
        <f t="shared" si="11"/>
        <v>4</v>
      </c>
      <c r="F24" s="121">
        <f t="shared" si="12"/>
        <v>3.67</v>
      </c>
      <c r="G24" s="121">
        <v>15</v>
      </c>
      <c r="H24" s="179">
        <f>0.231+0.91+0.01+0.04+0.09+0.17+0.19+0.22</f>
        <v>1.861</v>
      </c>
      <c r="I24" s="121">
        <v>4</v>
      </c>
      <c r="J24" s="179">
        <f>2.8+0.04+0.07+0.76</f>
        <v>3.67</v>
      </c>
      <c r="K24" s="122">
        <v>0</v>
      </c>
      <c r="L24" s="122">
        <v>0</v>
      </c>
      <c r="M24" s="122">
        <v>0</v>
      </c>
      <c r="N24" s="251">
        <v>0</v>
      </c>
      <c r="O24" s="121">
        <v>0</v>
      </c>
      <c r="P24" s="179">
        <v>0</v>
      </c>
      <c r="Q24" s="121">
        <v>0</v>
      </c>
      <c r="R24" s="179">
        <v>0</v>
      </c>
      <c r="S24" s="180" t="s">
        <v>20</v>
      </c>
      <c r="T24" s="181" t="s">
        <v>20</v>
      </c>
      <c r="U24" s="186" t="s">
        <v>20</v>
      </c>
      <c r="V24" s="121">
        <f t="shared" si="13"/>
        <v>17</v>
      </c>
      <c r="W24" s="179">
        <f t="shared" si="13"/>
        <v>3.9299999999999993</v>
      </c>
      <c r="X24" s="121">
        <f t="shared" si="13"/>
        <v>2</v>
      </c>
      <c r="Y24" s="179">
        <f t="shared" si="13"/>
        <v>0.26</v>
      </c>
      <c r="Z24" s="121">
        <v>17</v>
      </c>
      <c r="AA24" s="179">
        <f>0.01+0.39+2.9+0.05+0.07+0.01+0.04+0.46</f>
        <v>3.9299999999999993</v>
      </c>
      <c r="AB24" s="121">
        <v>2</v>
      </c>
      <c r="AC24" s="179">
        <f>0.05+0.21</f>
        <v>0.26</v>
      </c>
      <c r="AD24" s="122">
        <v>0</v>
      </c>
      <c r="AE24" s="251">
        <v>0</v>
      </c>
      <c r="AF24" s="122">
        <v>0</v>
      </c>
      <c r="AG24" s="251">
        <v>0</v>
      </c>
      <c r="AH24" s="122">
        <v>0</v>
      </c>
      <c r="AI24" s="122">
        <v>0</v>
      </c>
      <c r="AJ24" s="122">
        <v>0</v>
      </c>
      <c r="AK24" s="122">
        <v>0</v>
      </c>
      <c r="AL24" s="187" t="s">
        <v>20</v>
      </c>
      <c r="AM24" s="181" t="s">
        <v>20</v>
      </c>
      <c r="AN24" s="188" t="s">
        <v>15</v>
      </c>
      <c r="AO24" s="189" t="s">
        <v>20</v>
      </c>
      <c r="AP24" s="121">
        <f t="shared" si="50"/>
        <v>113.33333333333333</v>
      </c>
      <c r="AQ24" s="121">
        <f t="shared" si="51"/>
        <v>211.17678667383123</v>
      </c>
      <c r="AR24" s="121">
        <f t="shared" si="52"/>
        <v>50</v>
      </c>
      <c r="AS24" s="121">
        <f t="shared" si="53"/>
        <v>7.084468664850137</v>
      </c>
      <c r="AT24" s="122">
        <f t="shared" si="54"/>
        <v>113.33333333333333</v>
      </c>
      <c r="AU24" s="122">
        <f t="shared" si="55"/>
        <v>211.17678667383123</v>
      </c>
      <c r="AV24" s="122">
        <f t="shared" si="56"/>
        <v>50</v>
      </c>
      <c r="AW24" s="122">
        <f t="shared" si="57"/>
        <v>7.084468664850137</v>
      </c>
      <c r="AX24" s="122" t="e">
        <f t="shared" si="58"/>
        <v>#DIV/0!</v>
      </c>
      <c r="AY24" s="122" t="e">
        <f t="shared" si="59"/>
        <v>#DIV/0!</v>
      </c>
      <c r="AZ24" s="122" t="e">
        <f t="shared" si="60"/>
        <v>#DIV/0!</v>
      </c>
      <c r="BA24" s="122" t="e">
        <f t="shared" si="61"/>
        <v>#DIV/0!</v>
      </c>
      <c r="BB24" s="122" t="e">
        <f t="shared" si="62"/>
        <v>#DIV/0!</v>
      </c>
      <c r="BC24" s="122" t="e">
        <f t="shared" si="63"/>
        <v>#DIV/0!</v>
      </c>
      <c r="BD24" s="122" t="e">
        <f t="shared" si="64"/>
        <v>#DIV/0!</v>
      </c>
      <c r="BE24" s="122" t="e">
        <f t="shared" si="65"/>
        <v>#DIV/0!</v>
      </c>
      <c r="BF24" s="122" t="e">
        <f t="shared" si="66"/>
        <v>#VALUE!</v>
      </c>
      <c r="BG24" s="190" t="e">
        <f t="shared" si="67"/>
        <v>#VALUE!</v>
      </c>
      <c r="BH24" s="186" t="s">
        <v>20</v>
      </c>
      <c r="BI24" s="188" t="s">
        <v>15</v>
      </c>
      <c r="BJ24" s="121">
        <f t="shared" si="14"/>
        <v>16</v>
      </c>
      <c r="BK24" s="179">
        <f t="shared" si="15"/>
        <v>1.2200000000000002</v>
      </c>
      <c r="BL24" s="121">
        <f t="shared" si="16"/>
        <v>4</v>
      </c>
      <c r="BM24" s="179">
        <f t="shared" si="17"/>
        <v>0.30000000000000004</v>
      </c>
      <c r="BN24" s="121">
        <v>16</v>
      </c>
      <c r="BO24" s="179">
        <f>0.55+0.01+0.66</f>
        <v>1.2200000000000002</v>
      </c>
      <c r="BP24" s="252">
        <v>4</v>
      </c>
      <c r="BQ24" s="179">
        <f>0.01+0.16+0.13</f>
        <v>0.30000000000000004</v>
      </c>
      <c r="BR24" s="122">
        <v>0</v>
      </c>
      <c r="BS24" s="251">
        <v>0</v>
      </c>
      <c r="BT24" s="122">
        <v>0</v>
      </c>
      <c r="BU24" s="251">
        <v>0</v>
      </c>
      <c r="BV24" s="122">
        <v>0</v>
      </c>
      <c r="BW24" s="122">
        <v>0</v>
      </c>
      <c r="BX24" s="122">
        <v>0</v>
      </c>
      <c r="BY24" s="122">
        <v>0</v>
      </c>
      <c r="BZ24" s="187" t="s">
        <v>20</v>
      </c>
      <c r="CA24" s="181" t="s">
        <v>20</v>
      </c>
      <c r="CB24" s="188" t="s">
        <v>15</v>
      </c>
      <c r="CC24" s="189" t="s">
        <v>20</v>
      </c>
      <c r="CD24" s="122">
        <f t="shared" si="18"/>
        <v>94.11764705882352</v>
      </c>
      <c r="CE24" s="122">
        <f t="shared" si="19"/>
        <v>31.043256997455483</v>
      </c>
      <c r="CF24" s="122">
        <f t="shared" si="20"/>
        <v>200</v>
      </c>
      <c r="CG24" s="122">
        <f t="shared" si="21"/>
        <v>115.3846153846154</v>
      </c>
      <c r="CH24" s="122">
        <f t="shared" si="22"/>
        <v>94.11764705882352</v>
      </c>
      <c r="CI24" s="122">
        <f t="shared" si="23"/>
        <v>31.043256997455483</v>
      </c>
      <c r="CJ24" s="122">
        <f t="shared" si="24"/>
        <v>200</v>
      </c>
      <c r="CK24" s="122">
        <f t="shared" si="25"/>
        <v>115.3846153846154</v>
      </c>
      <c r="CL24" s="122" t="e">
        <f t="shared" si="26"/>
        <v>#DIV/0!</v>
      </c>
      <c r="CM24" s="122" t="e">
        <f t="shared" si="27"/>
        <v>#DIV/0!</v>
      </c>
      <c r="CN24" s="122" t="e">
        <f t="shared" si="28"/>
        <v>#DIV/0!</v>
      </c>
      <c r="CO24" s="122" t="e">
        <f t="shared" si="29"/>
        <v>#DIV/0!</v>
      </c>
      <c r="CP24" s="122" t="e">
        <f t="shared" si="30"/>
        <v>#DIV/0!</v>
      </c>
      <c r="CQ24" s="122" t="e">
        <f t="shared" si="31"/>
        <v>#DIV/0!</v>
      </c>
      <c r="CR24" s="122" t="e">
        <f t="shared" si="32"/>
        <v>#DIV/0!</v>
      </c>
      <c r="CS24" s="122" t="e">
        <f t="shared" si="33"/>
        <v>#DIV/0!</v>
      </c>
      <c r="CT24" s="122"/>
      <c r="CU24" s="191"/>
      <c r="CV24" s="192" t="s">
        <v>15</v>
      </c>
      <c r="CW24" s="121">
        <f t="shared" si="34"/>
        <v>16</v>
      </c>
      <c r="CX24" s="179">
        <f t="shared" si="35"/>
        <v>4.36</v>
      </c>
      <c r="CY24" s="121">
        <f t="shared" si="36"/>
        <v>1</v>
      </c>
      <c r="CZ24" s="179">
        <f t="shared" si="37"/>
        <v>0.39</v>
      </c>
      <c r="DA24" s="122">
        <v>16</v>
      </c>
      <c r="DB24" s="251">
        <f>0.23+0.11+3.1+0.01+0.68+0.03+0.2</f>
        <v>4.36</v>
      </c>
      <c r="DC24" s="122">
        <v>1</v>
      </c>
      <c r="DD24" s="251">
        <v>0.39</v>
      </c>
      <c r="DE24" s="121">
        <v>0</v>
      </c>
      <c r="DF24" s="121">
        <v>0</v>
      </c>
      <c r="DG24" s="121">
        <v>0</v>
      </c>
      <c r="DH24" s="121">
        <v>0</v>
      </c>
      <c r="DI24" s="122">
        <v>0</v>
      </c>
      <c r="DJ24" s="122">
        <v>0</v>
      </c>
      <c r="DK24" s="122">
        <v>0</v>
      </c>
      <c r="DL24" s="122">
        <v>0</v>
      </c>
      <c r="DM24" s="187" t="s">
        <v>20</v>
      </c>
      <c r="DN24" s="181" t="s">
        <v>20</v>
      </c>
      <c r="DO24" s="275" t="s">
        <v>15</v>
      </c>
      <c r="DP24" s="189" t="s">
        <v>20</v>
      </c>
      <c r="DQ24" s="122">
        <f t="shared" si="38"/>
        <v>100</v>
      </c>
      <c r="DR24" s="122">
        <f t="shared" si="39"/>
        <v>357.37704918032784</v>
      </c>
      <c r="DS24" s="122">
        <f t="shared" si="68"/>
        <v>25</v>
      </c>
      <c r="DT24" s="122">
        <f t="shared" si="69"/>
        <v>129.99999999999997</v>
      </c>
      <c r="DU24" s="122">
        <f t="shared" si="40"/>
        <v>100</v>
      </c>
      <c r="DV24" s="122">
        <f t="shared" si="41"/>
        <v>357.37704918032784</v>
      </c>
      <c r="DW24" s="122">
        <f t="shared" si="70"/>
        <v>25</v>
      </c>
      <c r="DX24" s="122">
        <f t="shared" si="71"/>
        <v>129.99999999999997</v>
      </c>
      <c r="DY24" s="122"/>
      <c r="DZ24" s="122"/>
      <c r="EA24" s="122"/>
      <c r="EB24" s="122"/>
      <c r="EC24" s="122"/>
      <c r="ED24" s="122"/>
      <c r="EE24" s="122"/>
      <c r="EF24" s="122"/>
      <c r="EG24" s="6"/>
      <c r="EH24" s="6"/>
      <c r="EI24" s="192" t="s">
        <v>15</v>
      </c>
      <c r="EJ24" s="121">
        <f t="shared" si="42"/>
        <v>19</v>
      </c>
      <c r="EK24" s="179">
        <f t="shared" si="43"/>
        <v>4.050000000000001</v>
      </c>
      <c r="EL24" s="121">
        <f t="shared" si="44"/>
        <v>1</v>
      </c>
      <c r="EM24" s="179">
        <f t="shared" si="45"/>
        <v>0.13</v>
      </c>
      <c r="EN24" s="122">
        <v>19</v>
      </c>
      <c r="EO24" s="251">
        <f>0.24+0.11+0.79+0.03+1.2+0.49+0.19+1</f>
        <v>4.050000000000001</v>
      </c>
      <c r="EP24" s="122">
        <v>1</v>
      </c>
      <c r="EQ24" s="251">
        <v>0.13</v>
      </c>
      <c r="ER24" s="121">
        <v>0</v>
      </c>
      <c r="ES24" s="121">
        <v>0</v>
      </c>
      <c r="ET24" s="121">
        <v>0</v>
      </c>
      <c r="EU24" s="121">
        <v>0</v>
      </c>
      <c r="EV24" s="122">
        <v>0</v>
      </c>
      <c r="EW24" s="122">
        <v>0</v>
      </c>
      <c r="EX24" s="122">
        <v>0</v>
      </c>
      <c r="EY24" s="122">
        <v>0</v>
      </c>
      <c r="EZ24" s="187" t="s">
        <v>20</v>
      </c>
      <c r="FA24" s="181" t="s">
        <v>20</v>
      </c>
      <c r="FB24" s="189" t="s">
        <v>20</v>
      </c>
      <c r="FC24" s="121">
        <f t="shared" si="46"/>
        <v>118.75</v>
      </c>
      <c r="FD24" s="121">
        <f t="shared" si="72"/>
        <v>92.88990825688074</v>
      </c>
      <c r="FE24" s="121">
        <f t="shared" si="73"/>
        <v>100</v>
      </c>
      <c r="FF24" s="121">
        <f t="shared" si="74"/>
        <v>33.33333333333333</v>
      </c>
      <c r="FG24" s="121">
        <f t="shared" si="47"/>
        <v>118.75</v>
      </c>
      <c r="FH24" s="121">
        <f t="shared" si="75"/>
        <v>92.88990825688074</v>
      </c>
      <c r="FI24" s="121">
        <f t="shared" si="76"/>
        <v>100</v>
      </c>
      <c r="FJ24" s="121">
        <f t="shared" si="77"/>
        <v>33.33333333333333</v>
      </c>
      <c r="FK24" s="121"/>
      <c r="FL24" s="121"/>
      <c r="FM24" s="121"/>
      <c r="FN24" s="121"/>
      <c r="FO24" s="121"/>
      <c r="FP24" s="121"/>
      <c r="FQ24" s="121" t="e">
        <f t="shared" si="48"/>
        <v>#DIV/0!</v>
      </c>
      <c r="FR24" s="121" t="e">
        <f t="shared" si="49"/>
        <v>#DIV/0!</v>
      </c>
      <c r="FS24" s="6"/>
      <c r="FT24" s="281"/>
    </row>
    <row r="25" spans="1:176" ht="40.5" customHeight="1">
      <c r="A25" s="58" t="s">
        <v>44</v>
      </c>
      <c r="B25" s="27" t="s">
        <v>20</v>
      </c>
      <c r="C25" s="121">
        <f t="shared" si="9"/>
        <v>16</v>
      </c>
      <c r="D25" s="179">
        <f t="shared" si="10"/>
        <v>18.166999999999998</v>
      </c>
      <c r="E25" s="121">
        <f t="shared" si="11"/>
        <v>4</v>
      </c>
      <c r="F25" s="121">
        <f t="shared" si="12"/>
        <v>0.4</v>
      </c>
      <c r="G25" s="121">
        <v>15</v>
      </c>
      <c r="H25" s="179">
        <f>17.7+J25</f>
        <v>18.099999999999998</v>
      </c>
      <c r="I25" s="121">
        <v>4</v>
      </c>
      <c r="J25" s="179">
        <f>0.34+0.06</f>
        <v>0.4</v>
      </c>
      <c r="K25" s="121">
        <v>1</v>
      </c>
      <c r="L25" s="179">
        <v>0.067</v>
      </c>
      <c r="M25" s="121">
        <v>0</v>
      </c>
      <c r="N25" s="179">
        <v>0</v>
      </c>
      <c r="O25" s="121">
        <v>0</v>
      </c>
      <c r="P25" s="179">
        <v>0</v>
      </c>
      <c r="Q25" s="121">
        <v>0</v>
      </c>
      <c r="R25" s="179">
        <v>0</v>
      </c>
      <c r="S25" s="180" t="s">
        <v>20</v>
      </c>
      <c r="T25" s="181" t="s">
        <v>20</v>
      </c>
      <c r="U25" s="186" t="s">
        <v>20</v>
      </c>
      <c r="V25" s="121">
        <f t="shared" si="13"/>
        <v>18</v>
      </c>
      <c r="W25" s="179">
        <f t="shared" si="13"/>
        <v>21.410999999999998</v>
      </c>
      <c r="X25" s="121">
        <f t="shared" si="13"/>
        <v>2</v>
      </c>
      <c r="Y25" s="179">
        <f t="shared" si="13"/>
        <v>1.019</v>
      </c>
      <c r="Z25" s="121">
        <v>17</v>
      </c>
      <c r="AA25" s="179">
        <f>21.27+AC25</f>
        <v>21.31</v>
      </c>
      <c r="AB25" s="121">
        <v>1</v>
      </c>
      <c r="AC25" s="179">
        <f>0.02+0.02</f>
        <v>0.04</v>
      </c>
      <c r="AD25" s="121">
        <v>1</v>
      </c>
      <c r="AE25" s="252">
        <v>0.101</v>
      </c>
      <c r="AF25" s="121">
        <v>1</v>
      </c>
      <c r="AG25" s="179">
        <v>0.979</v>
      </c>
      <c r="AH25" s="122">
        <v>0</v>
      </c>
      <c r="AI25" s="122">
        <v>0</v>
      </c>
      <c r="AJ25" s="122">
        <v>0</v>
      </c>
      <c r="AK25" s="122">
        <v>0</v>
      </c>
      <c r="AL25" s="187" t="s">
        <v>20</v>
      </c>
      <c r="AM25" s="181" t="s">
        <v>20</v>
      </c>
      <c r="AN25" s="188" t="s">
        <v>26</v>
      </c>
      <c r="AO25" s="189" t="s">
        <v>20</v>
      </c>
      <c r="AP25" s="121">
        <f t="shared" si="50"/>
        <v>112.5</v>
      </c>
      <c r="AQ25" s="121">
        <f t="shared" si="51"/>
        <v>117.85655309076897</v>
      </c>
      <c r="AR25" s="121">
        <f t="shared" si="52"/>
        <v>50</v>
      </c>
      <c r="AS25" s="121">
        <f t="shared" si="53"/>
        <v>254.74999999999994</v>
      </c>
      <c r="AT25" s="122">
        <f t="shared" si="54"/>
        <v>113.33333333333333</v>
      </c>
      <c r="AU25" s="122">
        <f t="shared" si="55"/>
        <v>117.73480662983427</v>
      </c>
      <c r="AV25" s="122">
        <f t="shared" si="56"/>
        <v>25</v>
      </c>
      <c r="AW25" s="122">
        <f t="shared" si="57"/>
        <v>10</v>
      </c>
      <c r="AX25" s="122">
        <f t="shared" si="58"/>
        <v>100</v>
      </c>
      <c r="AY25" s="122">
        <f t="shared" si="59"/>
        <v>150.7462686567164</v>
      </c>
      <c r="AZ25" s="122" t="e">
        <f t="shared" si="60"/>
        <v>#DIV/0!</v>
      </c>
      <c r="BA25" s="122" t="e">
        <f t="shared" si="61"/>
        <v>#DIV/0!</v>
      </c>
      <c r="BB25" s="122" t="e">
        <f t="shared" si="62"/>
        <v>#DIV/0!</v>
      </c>
      <c r="BC25" s="122" t="e">
        <f t="shared" si="63"/>
        <v>#DIV/0!</v>
      </c>
      <c r="BD25" s="122" t="e">
        <f t="shared" si="64"/>
        <v>#DIV/0!</v>
      </c>
      <c r="BE25" s="122" t="e">
        <f t="shared" si="65"/>
        <v>#DIV/0!</v>
      </c>
      <c r="BF25" s="122" t="e">
        <f t="shared" si="66"/>
        <v>#VALUE!</v>
      </c>
      <c r="BG25" s="190" t="e">
        <f t="shared" si="67"/>
        <v>#VALUE!</v>
      </c>
      <c r="BH25" s="186" t="s">
        <v>20</v>
      </c>
      <c r="BI25" s="188" t="s">
        <v>26</v>
      </c>
      <c r="BJ25" s="121">
        <f t="shared" si="14"/>
        <v>17</v>
      </c>
      <c r="BK25" s="179">
        <f t="shared" si="15"/>
        <v>27.1</v>
      </c>
      <c r="BL25" s="121">
        <f t="shared" si="16"/>
        <v>3</v>
      </c>
      <c r="BM25" s="179">
        <f t="shared" si="17"/>
        <v>0.98</v>
      </c>
      <c r="BN25" s="121">
        <v>14</v>
      </c>
      <c r="BO25" s="179">
        <f>24+0.63+0.15+0.13+0.17+1.1+0.04+0.14+0.03+0.19</f>
        <v>26.580000000000002</v>
      </c>
      <c r="BP25" s="252">
        <v>3</v>
      </c>
      <c r="BQ25" s="179">
        <f>0.91+0.06+0.01</f>
        <v>0.98</v>
      </c>
      <c r="BR25" s="121">
        <v>3</v>
      </c>
      <c r="BS25" s="252">
        <f>0.415+0.105</f>
        <v>0.52</v>
      </c>
      <c r="BT25" s="121">
        <v>0</v>
      </c>
      <c r="BU25" s="179">
        <v>0</v>
      </c>
      <c r="BV25" s="122">
        <v>0</v>
      </c>
      <c r="BW25" s="122">
        <v>0</v>
      </c>
      <c r="BX25" s="122">
        <v>0</v>
      </c>
      <c r="BY25" s="122">
        <v>0</v>
      </c>
      <c r="BZ25" s="187" t="s">
        <v>20</v>
      </c>
      <c r="CA25" s="181" t="s">
        <v>20</v>
      </c>
      <c r="CB25" s="188" t="s">
        <v>26</v>
      </c>
      <c r="CC25" s="189" t="s">
        <v>20</v>
      </c>
      <c r="CD25" s="122">
        <f t="shared" si="18"/>
        <v>94.44444444444444</v>
      </c>
      <c r="CE25" s="122">
        <f t="shared" si="19"/>
        <v>126.57045443930693</v>
      </c>
      <c r="CF25" s="122">
        <f t="shared" si="20"/>
        <v>150</v>
      </c>
      <c r="CG25" s="122">
        <f t="shared" si="21"/>
        <v>96.17271835132483</v>
      </c>
      <c r="CH25" s="122">
        <f t="shared" si="22"/>
        <v>82.35294117647058</v>
      </c>
      <c r="CI25" s="122">
        <f t="shared" si="23"/>
        <v>124.730173627405</v>
      </c>
      <c r="CJ25" s="122">
        <f t="shared" si="24"/>
        <v>300</v>
      </c>
      <c r="CK25" s="122">
        <f t="shared" si="25"/>
        <v>2450</v>
      </c>
      <c r="CL25" s="122">
        <f t="shared" si="26"/>
        <v>300</v>
      </c>
      <c r="CM25" s="122">
        <f t="shared" si="27"/>
        <v>514.8514851485148</v>
      </c>
      <c r="CN25" s="122">
        <f t="shared" si="28"/>
        <v>0</v>
      </c>
      <c r="CO25" s="122">
        <f t="shared" si="29"/>
        <v>0</v>
      </c>
      <c r="CP25" s="122" t="e">
        <f t="shared" si="30"/>
        <v>#DIV/0!</v>
      </c>
      <c r="CQ25" s="122" t="e">
        <f t="shared" si="31"/>
        <v>#DIV/0!</v>
      </c>
      <c r="CR25" s="122" t="e">
        <f t="shared" si="32"/>
        <v>#DIV/0!</v>
      </c>
      <c r="CS25" s="122" t="e">
        <f t="shared" si="33"/>
        <v>#DIV/0!</v>
      </c>
      <c r="CT25" s="122"/>
      <c r="CU25" s="191"/>
      <c r="CV25" s="192" t="s">
        <v>26</v>
      </c>
      <c r="CW25" s="121">
        <f t="shared" si="34"/>
        <v>16</v>
      </c>
      <c r="CX25" s="179">
        <f t="shared" si="35"/>
        <v>32.22</v>
      </c>
      <c r="CY25" s="121">
        <f t="shared" si="36"/>
        <v>4</v>
      </c>
      <c r="CZ25" s="179">
        <f t="shared" si="37"/>
        <v>1.04</v>
      </c>
      <c r="DA25" s="122">
        <v>12</v>
      </c>
      <c r="DB25" s="251">
        <f>9.7+0.59+0.38+0.05+1.1+0.08+0.15+6</f>
        <v>18.05</v>
      </c>
      <c r="DC25" s="122">
        <v>4</v>
      </c>
      <c r="DD25" s="251">
        <f>0.54+0.12+0.25+0.05+0.08</f>
        <v>1.04</v>
      </c>
      <c r="DE25" s="121">
        <v>4</v>
      </c>
      <c r="DF25" s="252">
        <f>0+1.24+0.27+12.66</f>
        <v>14.17</v>
      </c>
      <c r="DG25" s="121">
        <v>0</v>
      </c>
      <c r="DH25" s="179">
        <v>0</v>
      </c>
      <c r="DI25" s="122">
        <v>0</v>
      </c>
      <c r="DJ25" s="122">
        <v>0</v>
      </c>
      <c r="DK25" s="122">
        <v>0</v>
      </c>
      <c r="DL25" s="122">
        <v>0</v>
      </c>
      <c r="DM25" s="187" t="s">
        <v>20</v>
      </c>
      <c r="DN25" s="181" t="s">
        <v>20</v>
      </c>
      <c r="DO25" s="275" t="s">
        <v>26</v>
      </c>
      <c r="DP25" s="189" t="s">
        <v>20</v>
      </c>
      <c r="DQ25" s="122">
        <f t="shared" si="38"/>
        <v>94.11764705882352</v>
      </c>
      <c r="DR25" s="122">
        <f t="shared" si="39"/>
        <v>118.89298892988928</v>
      </c>
      <c r="DS25" s="122">
        <f t="shared" si="68"/>
        <v>133.33333333333331</v>
      </c>
      <c r="DT25" s="122">
        <f t="shared" si="69"/>
        <v>106.12244897959184</v>
      </c>
      <c r="DU25" s="122">
        <f t="shared" si="40"/>
        <v>85.71428571428571</v>
      </c>
      <c r="DV25" s="122">
        <f t="shared" si="41"/>
        <v>67.90820165537998</v>
      </c>
      <c r="DW25" s="122">
        <f t="shared" si="70"/>
        <v>133.33333333333331</v>
      </c>
      <c r="DX25" s="122">
        <f t="shared" si="71"/>
        <v>106.12244897959184</v>
      </c>
      <c r="DY25" s="122">
        <f>DE25/BR25*100</f>
        <v>133.33333333333331</v>
      </c>
      <c r="DZ25" s="122">
        <f>DF25/BS25*100</f>
        <v>2725</v>
      </c>
      <c r="EA25" s="122"/>
      <c r="EB25" s="122"/>
      <c r="EC25" s="122"/>
      <c r="ED25" s="122"/>
      <c r="EE25" s="122"/>
      <c r="EF25" s="122"/>
      <c r="EG25" s="6"/>
      <c r="EH25" s="6"/>
      <c r="EI25" s="192" t="s">
        <v>26</v>
      </c>
      <c r="EJ25" s="121">
        <f t="shared" si="42"/>
        <v>21</v>
      </c>
      <c r="EK25" s="179">
        <f t="shared" si="43"/>
        <v>17.225</v>
      </c>
      <c r="EL25" s="121">
        <f t="shared" si="44"/>
        <v>2</v>
      </c>
      <c r="EM25" s="179">
        <f t="shared" si="45"/>
        <v>0.78</v>
      </c>
      <c r="EN25" s="122">
        <v>20</v>
      </c>
      <c r="EO25" s="251">
        <f>1.55+6.01+0.94+0.39+0.03+0.2+0.01+2.42+0.09+0.13+0.11+4.26+0.44+0.06</f>
        <v>16.64</v>
      </c>
      <c r="EP25" s="122">
        <v>2</v>
      </c>
      <c r="EQ25" s="251">
        <f>0.78</f>
        <v>0.78</v>
      </c>
      <c r="ER25" s="121">
        <v>1</v>
      </c>
      <c r="ES25" s="252">
        <v>0.585</v>
      </c>
      <c r="ET25" s="121">
        <v>0</v>
      </c>
      <c r="EU25" s="179">
        <v>0</v>
      </c>
      <c r="EV25" s="122">
        <v>0</v>
      </c>
      <c r="EW25" s="122">
        <v>0</v>
      </c>
      <c r="EX25" s="122">
        <v>0</v>
      </c>
      <c r="EY25" s="122">
        <v>0</v>
      </c>
      <c r="EZ25" s="187" t="s">
        <v>20</v>
      </c>
      <c r="FA25" s="181" t="s">
        <v>20</v>
      </c>
      <c r="FB25" s="189" t="s">
        <v>20</v>
      </c>
      <c r="FC25" s="121">
        <f t="shared" si="46"/>
        <v>131.25</v>
      </c>
      <c r="FD25" s="121">
        <f t="shared" si="72"/>
        <v>53.460583488516455</v>
      </c>
      <c r="FE25" s="121">
        <f t="shared" si="73"/>
        <v>50</v>
      </c>
      <c r="FF25" s="121">
        <f t="shared" si="74"/>
        <v>75</v>
      </c>
      <c r="FG25" s="121">
        <f t="shared" si="47"/>
        <v>166.66666666666669</v>
      </c>
      <c r="FH25" s="121">
        <f t="shared" si="75"/>
        <v>92.18836565096953</v>
      </c>
      <c r="FI25" s="121">
        <f t="shared" si="76"/>
        <v>50</v>
      </c>
      <c r="FJ25" s="121">
        <f t="shared" si="77"/>
        <v>75</v>
      </c>
      <c r="FK25" s="121">
        <f t="shared" si="78"/>
        <v>25</v>
      </c>
      <c r="FL25" s="121">
        <f>ES25/DF25*100</f>
        <v>4.128440366972477</v>
      </c>
      <c r="FM25" s="121"/>
      <c r="FN25" s="121"/>
      <c r="FO25" s="121"/>
      <c r="FP25" s="121"/>
      <c r="FQ25" s="121" t="e">
        <f t="shared" si="48"/>
        <v>#DIV/0!</v>
      </c>
      <c r="FR25" s="121" t="e">
        <f t="shared" si="49"/>
        <v>#DIV/0!</v>
      </c>
      <c r="FS25" s="6"/>
      <c r="FT25" s="281"/>
    </row>
    <row r="26" spans="1:176" ht="60" customHeight="1">
      <c r="A26" s="58" t="s">
        <v>30</v>
      </c>
      <c r="B26" s="27" t="s">
        <v>20</v>
      </c>
      <c r="C26" s="121">
        <f t="shared" si="9"/>
        <v>0</v>
      </c>
      <c r="D26" s="179">
        <f t="shared" si="10"/>
        <v>0</v>
      </c>
      <c r="E26" s="121">
        <f t="shared" si="11"/>
        <v>0</v>
      </c>
      <c r="F26" s="121">
        <f t="shared" si="12"/>
        <v>0</v>
      </c>
      <c r="G26" s="121">
        <v>0</v>
      </c>
      <c r="H26" s="179">
        <v>0</v>
      </c>
      <c r="I26" s="121">
        <v>0</v>
      </c>
      <c r="J26" s="179">
        <v>0</v>
      </c>
      <c r="K26" s="122">
        <v>0</v>
      </c>
      <c r="L26" s="251">
        <v>0</v>
      </c>
      <c r="M26" s="122">
        <v>0</v>
      </c>
      <c r="N26" s="251">
        <v>0</v>
      </c>
      <c r="O26" s="121">
        <v>0</v>
      </c>
      <c r="P26" s="179">
        <v>0</v>
      </c>
      <c r="Q26" s="121">
        <v>0</v>
      </c>
      <c r="R26" s="179">
        <v>0</v>
      </c>
      <c r="S26" s="180" t="s">
        <v>20</v>
      </c>
      <c r="T26" s="181" t="s">
        <v>20</v>
      </c>
      <c r="U26" s="186" t="s">
        <v>20</v>
      </c>
      <c r="V26" s="121">
        <f t="shared" si="13"/>
        <v>1</v>
      </c>
      <c r="W26" s="179">
        <f t="shared" si="13"/>
        <v>0.273</v>
      </c>
      <c r="X26" s="121">
        <f t="shared" si="13"/>
        <v>0</v>
      </c>
      <c r="Y26" s="179">
        <f t="shared" si="13"/>
        <v>0</v>
      </c>
      <c r="Z26" s="121">
        <v>1</v>
      </c>
      <c r="AA26" s="179">
        <v>0.273</v>
      </c>
      <c r="AB26" s="121">
        <v>0</v>
      </c>
      <c r="AC26" s="179">
        <v>0</v>
      </c>
      <c r="AD26" s="122">
        <v>0</v>
      </c>
      <c r="AE26" s="251">
        <v>0</v>
      </c>
      <c r="AF26" s="122">
        <v>0</v>
      </c>
      <c r="AG26" s="251">
        <v>0</v>
      </c>
      <c r="AH26" s="122">
        <v>0</v>
      </c>
      <c r="AI26" s="122">
        <v>0</v>
      </c>
      <c r="AJ26" s="122">
        <v>0</v>
      </c>
      <c r="AK26" s="122">
        <v>0</v>
      </c>
      <c r="AL26" s="187" t="s">
        <v>20</v>
      </c>
      <c r="AM26" s="181" t="s">
        <v>20</v>
      </c>
      <c r="AN26" s="188" t="s">
        <v>30</v>
      </c>
      <c r="AO26" s="189" t="s">
        <v>20</v>
      </c>
      <c r="AP26" s="121" t="e">
        <f t="shared" si="50"/>
        <v>#DIV/0!</v>
      </c>
      <c r="AQ26" s="121" t="e">
        <f t="shared" si="51"/>
        <v>#DIV/0!</v>
      </c>
      <c r="AR26" s="121" t="e">
        <f t="shared" si="52"/>
        <v>#DIV/0!</v>
      </c>
      <c r="AS26" s="121" t="e">
        <f t="shared" si="53"/>
        <v>#DIV/0!</v>
      </c>
      <c r="AT26" s="122"/>
      <c r="AU26" s="122" t="e">
        <f t="shared" si="55"/>
        <v>#DIV/0!</v>
      </c>
      <c r="AV26" s="122" t="e">
        <f t="shared" si="56"/>
        <v>#DIV/0!</v>
      </c>
      <c r="AW26" s="122" t="e">
        <f t="shared" si="57"/>
        <v>#DIV/0!</v>
      </c>
      <c r="AX26" s="122" t="e">
        <f t="shared" si="58"/>
        <v>#DIV/0!</v>
      </c>
      <c r="AY26" s="122" t="e">
        <f t="shared" si="59"/>
        <v>#DIV/0!</v>
      </c>
      <c r="AZ26" s="122" t="e">
        <f t="shared" si="60"/>
        <v>#DIV/0!</v>
      </c>
      <c r="BA26" s="122" t="e">
        <f t="shared" si="61"/>
        <v>#DIV/0!</v>
      </c>
      <c r="BB26" s="122" t="e">
        <f t="shared" si="62"/>
        <v>#DIV/0!</v>
      </c>
      <c r="BC26" s="122" t="e">
        <f t="shared" si="63"/>
        <v>#DIV/0!</v>
      </c>
      <c r="BD26" s="122" t="e">
        <f t="shared" si="64"/>
        <v>#DIV/0!</v>
      </c>
      <c r="BE26" s="122" t="e">
        <f t="shared" si="65"/>
        <v>#DIV/0!</v>
      </c>
      <c r="BF26" s="122" t="e">
        <f t="shared" si="66"/>
        <v>#VALUE!</v>
      </c>
      <c r="BG26" s="190" t="e">
        <f t="shared" si="67"/>
        <v>#VALUE!</v>
      </c>
      <c r="BH26" s="186" t="s">
        <v>20</v>
      </c>
      <c r="BI26" s="188" t="s">
        <v>30</v>
      </c>
      <c r="BJ26" s="121">
        <f t="shared" si="14"/>
        <v>1</v>
      </c>
      <c r="BK26" s="179">
        <f t="shared" si="15"/>
        <v>0.253</v>
      </c>
      <c r="BL26" s="121">
        <f t="shared" si="16"/>
        <v>0</v>
      </c>
      <c r="BM26" s="179">
        <f t="shared" si="17"/>
        <v>0</v>
      </c>
      <c r="BN26" s="121">
        <v>1</v>
      </c>
      <c r="BO26" s="179">
        <v>0.253</v>
      </c>
      <c r="BP26" s="252">
        <v>0</v>
      </c>
      <c r="BQ26" s="179">
        <v>0</v>
      </c>
      <c r="BR26" s="122">
        <v>0</v>
      </c>
      <c r="BS26" s="251">
        <v>0</v>
      </c>
      <c r="BT26" s="122">
        <v>0</v>
      </c>
      <c r="BU26" s="251">
        <v>0</v>
      </c>
      <c r="BV26" s="122">
        <v>0</v>
      </c>
      <c r="BW26" s="122">
        <v>0</v>
      </c>
      <c r="BX26" s="122">
        <v>0</v>
      </c>
      <c r="BY26" s="122">
        <v>0</v>
      </c>
      <c r="BZ26" s="187" t="s">
        <v>20</v>
      </c>
      <c r="CA26" s="181" t="s">
        <v>20</v>
      </c>
      <c r="CB26" s="188" t="s">
        <v>30</v>
      </c>
      <c r="CC26" s="189" t="s">
        <v>20</v>
      </c>
      <c r="CD26" s="122">
        <f t="shared" si="18"/>
        <v>100</v>
      </c>
      <c r="CE26" s="122">
        <f t="shared" si="19"/>
        <v>92.67399267399267</v>
      </c>
      <c r="CF26" s="122" t="e">
        <f t="shared" si="20"/>
        <v>#DIV/0!</v>
      </c>
      <c r="CG26" s="122" t="e">
        <f t="shared" si="21"/>
        <v>#DIV/0!</v>
      </c>
      <c r="CH26" s="122">
        <f t="shared" si="22"/>
        <v>100</v>
      </c>
      <c r="CI26" s="122">
        <f t="shared" si="23"/>
        <v>92.67399267399267</v>
      </c>
      <c r="CJ26" s="122" t="e">
        <f t="shared" si="24"/>
        <v>#DIV/0!</v>
      </c>
      <c r="CK26" s="122" t="e">
        <f t="shared" si="25"/>
        <v>#DIV/0!</v>
      </c>
      <c r="CL26" s="122" t="e">
        <f t="shared" si="26"/>
        <v>#DIV/0!</v>
      </c>
      <c r="CM26" s="122" t="e">
        <f t="shared" si="27"/>
        <v>#DIV/0!</v>
      </c>
      <c r="CN26" s="122" t="e">
        <f t="shared" si="28"/>
        <v>#DIV/0!</v>
      </c>
      <c r="CO26" s="122" t="e">
        <f t="shared" si="29"/>
        <v>#DIV/0!</v>
      </c>
      <c r="CP26" s="122" t="e">
        <f t="shared" si="30"/>
        <v>#DIV/0!</v>
      </c>
      <c r="CQ26" s="122" t="e">
        <f t="shared" si="31"/>
        <v>#DIV/0!</v>
      </c>
      <c r="CR26" s="122" t="e">
        <f t="shared" si="32"/>
        <v>#DIV/0!</v>
      </c>
      <c r="CS26" s="122" t="e">
        <f t="shared" si="33"/>
        <v>#DIV/0!</v>
      </c>
      <c r="CT26" s="122"/>
      <c r="CU26" s="191"/>
      <c r="CV26" s="192" t="s">
        <v>30</v>
      </c>
      <c r="CW26" s="121">
        <f t="shared" si="34"/>
        <v>1</v>
      </c>
      <c r="CX26" s="179">
        <f t="shared" si="35"/>
        <v>0.35</v>
      </c>
      <c r="CY26" s="121">
        <f t="shared" si="36"/>
        <v>0</v>
      </c>
      <c r="CZ26" s="179">
        <f t="shared" si="37"/>
        <v>0</v>
      </c>
      <c r="DA26" s="122">
        <v>1</v>
      </c>
      <c r="DB26" s="251">
        <v>0.35</v>
      </c>
      <c r="DC26" s="122">
        <v>0</v>
      </c>
      <c r="DD26" s="251">
        <v>0</v>
      </c>
      <c r="DE26" s="121">
        <v>0</v>
      </c>
      <c r="DF26" s="121">
        <v>0</v>
      </c>
      <c r="DG26" s="121">
        <v>0</v>
      </c>
      <c r="DH26" s="121">
        <v>0</v>
      </c>
      <c r="DI26" s="122">
        <v>0</v>
      </c>
      <c r="DJ26" s="122">
        <v>0</v>
      </c>
      <c r="DK26" s="122">
        <v>0</v>
      </c>
      <c r="DL26" s="122">
        <v>0</v>
      </c>
      <c r="DM26" s="187" t="s">
        <v>20</v>
      </c>
      <c r="DN26" s="181" t="s">
        <v>20</v>
      </c>
      <c r="DO26" s="275" t="s">
        <v>30</v>
      </c>
      <c r="DP26" s="189" t="s">
        <v>20</v>
      </c>
      <c r="DQ26" s="122">
        <f t="shared" si="38"/>
        <v>100</v>
      </c>
      <c r="DR26" s="122">
        <f t="shared" si="39"/>
        <v>138.3399209486166</v>
      </c>
      <c r="DS26" s="122"/>
      <c r="DT26" s="122"/>
      <c r="DU26" s="122">
        <f t="shared" si="40"/>
        <v>100</v>
      </c>
      <c r="DV26" s="122">
        <f t="shared" si="41"/>
        <v>138.3399209486166</v>
      </c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6"/>
      <c r="EH26" s="6"/>
      <c r="EI26" s="192" t="s">
        <v>30</v>
      </c>
      <c r="EJ26" s="121">
        <f t="shared" si="42"/>
        <v>1</v>
      </c>
      <c r="EK26" s="179">
        <f t="shared" si="43"/>
        <v>0.17</v>
      </c>
      <c r="EL26" s="121">
        <f t="shared" si="44"/>
        <v>0</v>
      </c>
      <c r="EM26" s="179">
        <f t="shared" si="45"/>
        <v>0</v>
      </c>
      <c r="EN26" s="122">
        <v>1</v>
      </c>
      <c r="EO26" s="251">
        <v>0.17</v>
      </c>
      <c r="EP26" s="122">
        <v>0</v>
      </c>
      <c r="EQ26" s="251">
        <v>0</v>
      </c>
      <c r="ER26" s="121">
        <v>0</v>
      </c>
      <c r="ES26" s="121">
        <v>0</v>
      </c>
      <c r="ET26" s="121">
        <v>0</v>
      </c>
      <c r="EU26" s="121">
        <v>0</v>
      </c>
      <c r="EV26" s="122">
        <v>0</v>
      </c>
      <c r="EW26" s="122">
        <v>0</v>
      </c>
      <c r="EX26" s="122">
        <v>0</v>
      </c>
      <c r="EY26" s="122">
        <v>0</v>
      </c>
      <c r="EZ26" s="187" t="s">
        <v>20</v>
      </c>
      <c r="FA26" s="181" t="s">
        <v>20</v>
      </c>
      <c r="FB26" s="189" t="s">
        <v>20</v>
      </c>
      <c r="FC26" s="121">
        <f t="shared" si="46"/>
        <v>100</v>
      </c>
      <c r="FD26" s="121">
        <f t="shared" si="72"/>
        <v>48.57142857142858</v>
      </c>
      <c r="FE26" s="121"/>
      <c r="FF26" s="121"/>
      <c r="FG26" s="121">
        <f t="shared" si="47"/>
        <v>100</v>
      </c>
      <c r="FH26" s="121">
        <f t="shared" si="75"/>
        <v>48.57142857142858</v>
      </c>
      <c r="FI26" s="121"/>
      <c r="FJ26" s="121"/>
      <c r="FK26" s="121"/>
      <c r="FL26" s="121"/>
      <c r="FM26" s="121"/>
      <c r="FN26" s="121"/>
      <c r="FO26" s="121"/>
      <c r="FP26" s="121"/>
      <c r="FQ26" s="121" t="e">
        <f t="shared" si="48"/>
        <v>#DIV/0!</v>
      </c>
      <c r="FR26" s="121" t="e">
        <f t="shared" si="49"/>
        <v>#DIV/0!</v>
      </c>
      <c r="FS26" s="6"/>
      <c r="FT26" s="281"/>
    </row>
    <row r="27" spans="1:176" ht="15.75" customHeight="1">
      <c r="A27" s="56" t="s">
        <v>5</v>
      </c>
      <c r="B27" s="27" t="s">
        <v>20</v>
      </c>
      <c r="C27" s="121">
        <f t="shared" si="9"/>
        <v>1</v>
      </c>
      <c r="D27" s="179">
        <f t="shared" si="10"/>
        <v>0</v>
      </c>
      <c r="E27" s="121">
        <f t="shared" si="11"/>
        <v>1</v>
      </c>
      <c r="F27" s="121">
        <f t="shared" si="12"/>
        <v>5</v>
      </c>
      <c r="G27" s="121">
        <v>1</v>
      </c>
      <c r="H27" s="179">
        <v>0</v>
      </c>
      <c r="I27" s="121">
        <v>0</v>
      </c>
      <c r="J27" s="179">
        <v>0</v>
      </c>
      <c r="K27" s="121">
        <v>0</v>
      </c>
      <c r="L27" s="252">
        <v>0</v>
      </c>
      <c r="M27" s="121">
        <v>1</v>
      </c>
      <c r="N27" s="179">
        <v>5</v>
      </c>
      <c r="O27" s="121">
        <v>0</v>
      </c>
      <c r="P27" s="179">
        <v>0</v>
      </c>
      <c r="Q27" s="121">
        <v>0</v>
      </c>
      <c r="R27" s="179">
        <v>0</v>
      </c>
      <c r="S27" s="180" t="s">
        <v>20</v>
      </c>
      <c r="T27" s="181" t="s">
        <v>20</v>
      </c>
      <c r="U27" s="186" t="s">
        <v>20</v>
      </c>
      <c r="V27" s="121">
        <f t="shared" si="13"/>
        <v>0</v>
      </c>
      <c r="W27" s="179">
        <f t="shared" si="13"/>
        <v>0</v>
      </c>
      <c r="X27" s="121">
        <f t="shared" si="13"/>
        <v>1</v>
      </c>
      <c r="Y27" s="179">
        <f t="shared" si="13"/>
        <v>3.4</v>
      </c>
      <c r="Z27" s="121">
        <v>0</v>
      </c>
      <c r="AA27" s="179">
        <v>0</v>
      </c>
      <c r="AB27" s="121">
        <v>0</v>
      </c>
      <c r="AC27" s="179">
        <v>0</v>
      </c>
      <c r="AD27" s="121">
        <v>0</v>
      </c>
      <c r="AE27" s="252">
        <v>0</v>
      </c>
      <c r="AF27" s="121">
        <v>1</v>
      </c>
      <c r="AG27" s="179">
        <v>3.4</v>
      </c>
      <c r="AH27" s="122">
        <v>0</v>
      </c>
      <c r="AI27" s="122">
        <v>0</v>
      </c>
      <c r="AJ27" s="122">
        <v>0</v>
      </c>
      <c r="AK27" s="122">
        <v>0</v>
      </c>
      <c r="AL27" s="187" t="s">
        <v>20</v>
      </c>
      <c r="AM27" s="181" t="s">
        <v>20</v>
      </c>
      <c r="AN27" s="188" t="s">
        <v>5</v>
      </c>
      <c r="AO27" s="189" t="s">
        <v>20</v>
      </c>
      <c r="AP27" s="121">
        <f t="shared" si="50"/>
        <v>0</v>
      </c>
      <c r="AQ27" s="121" t="e">
        <f t="shared" si="51"/>
        <v>#DIV/0!</v>
      </c>
      <c r="AR27" s="121">
        <f t="shared" si="52"/>
        <v>100</v>
      </c>
      <c r="AS27" s="121">
        <f t="shared" si="53"/>
        <v>68</v>
      </c>
      <c r="AT27" s="122"/>
      <c r="AU27" s="122" t="e">
        <f t="shared" si="55"/>
        <v>#DIV/0!</v>
      </c>
      <c r="AV27" s="122" t="e">
        <f t="shared" si="56"/>
        <v>#DIV/0!</v>
      </c>
      <c r="AW27" s="122" t="e">
        <f t="shared" si="57"/>
        <v>#DIV/0!</v>
      </c>
      <c r="AX27" s="122" t="e">
        <f t="shared" si="58"/>
        <v>#DIV/0!</v>
      </c>
      <c r="AY27" s="122" t="e">
        <f t="shared" si="59"/>
        <v>#DIV/0!</v>
      </c>
      <c r="AZ27" s="122">
        <f t="shared" si="60"/>
        <v>100</v>
      </c>
      <c r="BA27" s="122">
        <f t="shared" si="61"/>
        <v>68</v>
      </c>
      <c r="BB27" s="122" t="e">
        <f t="shared" si="62"/>
        <v>#DIV/0!</v>
      </c>
      <c r="BC27" s="122" t="e">
        <f t="shared" si="63"/>
        <v>#DIV/0!</v>
      </c>
      <c r="BD27" s="122" t="e">
        <f t="shared" si="64"/>
        <v>#DIV/0!</v>
      </c>
      <c r="BE27" s="122" t="e">
        <f t="shared" si="65"/>
        <v>#DIV/0!</v>
      </c>
      <c r="BF27" s="122" t="e">
        <f t="shared" si="66"/>
        <v>#VALUE!</v>
      </c>
      <c r="BG27" s="190" t="e">
        <f t="shared" si="67"/>
        <v>#VALUE!</v>
      </c>
      <c r="BH27" s="186" t="s">
        <v>20</v>
      </c>
      <c r="BI27" s="188" t="s">
        <v>5</v>
      </c>
      <c r="BJ27" s="121">
        <f t="shared" si="14"/>
        <v>1</v>
      </c>
      <c r="BK27" s="179">
        <f t="shared" si="15"/>
        <v>0</v>
      </c>
      <c r="BL27" s="121">
        <f t="shared" si="16"/>
        <v>0</v>
      </c>
      <c r="BM27" s="179">
        <f t="shared" si="17"/>
        <v>0</v>
      </c>
      <c r="BN27" s="121">
        <v>1</v>
      </c>
      <c r="BO27" s="252">
        <v>0</v>
      </c>
      <c r="BP27" s="252">
        <v>0</v>
      </c>
      <c r="BQ27" s="179">
        <v>0</v>
      </c>
      <c r="BR27" s="121">
        <v>0</v>
      </c>
      <c r="BS27" s="252">
        <v>0</v>
      </c>
      <c r="BT27" s="121">
        <v>0</v>
      </c>
      <c r="BU27" s="179">
        <v>0</v>
      </c>
      <c r="BV27" s="122">
        <v>0</v>
      </c>
      <c r="BW27" s="122">
        <v>0</v>
      </c>
      <c r="BX27" s="122">
        <v>0</v>
      </c>
      <c r="BY27" s="122">
        <v>0</v>
      </c>
      <c r="BZ27" s="187" t="s">
        <v>20</v>
      </c>
      <c r="CA27" s="181" t="s">
        <v>20</v>
      </c>
      <c r="CB27" s="188" t="s">
        <v>5</v>
      </c>
      <c r="CC27" s="189" t="s">
        <v>20</v>
      </c>
      <c r="CD27" s="122" t="e">
        <f t="shared" si="18"/>
        <v>#DIV/0!</v>
      </c>
      <c r="CE27" s="122" t="e">
        <f t="shared" si="19"/>
        <v>#DIV/0!</v>
      </c>
      <c r="CF27" s="122">
        <f t="shared" si="20"/>
        <v>0</v>
      </c>
      <c r="CG27" s="122">
        <f t="shared" si="21"/>
        <v>0</v>
      </c>
      <c r="CH27" s="122" t="e">
        <f t="shared" si="22"/>
        <v>#DIV/0!</v>
      </c>
      <c r="CI27" s="122" t="e">
        <f t="shared" si="23"/>
        <v>#DIV/0!</v>
      </c>
      <c r="CJ27" s="122" t="e">
        <f t="shared" si="24"/>
        <v>#DIV/0!</v>
      </c>
      <c r="CK27" s="122" t="e">
        <f t="shared" si="25"/>
        <v>#DIV/0!</v>
      </c>
      <c r="CL27" s="122" t="e">
        <f t="shared" si="26"/>
        <v>#DIV/0!</v>
      </c>
      <c r="CM27" s="122" t="e">
        <f t="shared" si="27"/>
        <v>#DIV/0!</v>
      </c>
      <c r="CN27" s="122">
        <f t="shared" si="28"/>
        <v>0</v>
      </c>
      <c r="CO27" s="122">
        <f t="shared" si="29"/>
        <v>0</v>
      </c>
      <c r="CP27" s="122" t="e">
        <f t="shared" si="30"/>
        <v>#DIV/0!</v>
      </c>
      <c r="CQ27" s="122" t="e">
        <f t="shared" si="31"/>
        <v>#DIV/0!</v>
      </c>
      <c r="CR27" s="122" t="e">
        <f t="shared" si="32"/>
        <v>#DIV/0!</v>
      </c>
      <c r="CS27" s="122" t="e">
        <f t="shared" si="33"/>
        <v>#DIV/0!</v>
      </c>
      <c r="CT27" s="122"/>
      <c r="CU27" s="191"/>
      <c r="CV27" s="192" t="s">
        <v>5</v>
      </c>
      <c r="CW27" s="121">
        <f t="shared" si="34"/>
        <v>0</v>
      </c>
      <c r="CX27" s="179">
        <f t="shared" si="35"/>
        <v>0</v>
      </c>
      <c r="CY27" s="121">
        <f t="shared" si="36"/>
        <v>0</v>
      </c>
      <c r="CZ27" s="179">
        <f t="shared" si="37"/>
        <v>0</v>
      </c>
      <c r="DA27" s="122">
        <v>0</v>
      </c>
      <c r="DB27" s="251">
        <v>0</v>
      </c>
      <c r="DC27" s="122">
        <v>0</v>
      </c>
      <c r="DD27" s="251">
        <v>0</v>
      </c>
      <c r="DE27" s="121">
        <v>0</v>
      </c>
      <c r="DF27" s="252">
        <v>0</v>
      </c>
      <c r="DG27" s="121">
        <v>0</v>
      </c>
      <c r="DH27" s="179">
        <v>0</v>
      </c>
      <c r="DI27" s="122">
        <v>0</v>
      </c>
      <c r="DJ27" s="122">
        <v>0</v>
      </c>
      <c r="DK27" s="122">
        <v>0</v>
      </c>
      <c r="DL27" s="122">
        <v>0</v>
      </c>
      <c r="DM27" s="187" t="s">
        <v>20</v>
      </c>
      <c r="DN27" s="181" t="s">
        <v>20</v>
      </c>
      <c r="DO27" s="275" t="s">
        <v>5</v>
      </c>
      <c r="DP27" s="189" t="s">
        <v>20</v>
      </c>
      <c r="DQ27" s="122">
        <f t="shared" si="38"/>
        <v>0</v>
      </c>
      <c r="DR27" s="122"/>
      <c r="DS27" s="122"/>
      <c r="DT27" s="122"/>
      <c r="DU27" s="122">
        <f t="shared" si="40"/>
        <v>0</v>
      </c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6"/>
      <c r="EH27" s="6"/>
      <c r="EI27" s="192" t="s">
        <v>5</v>
      </c>
      <c r="EJ27" s="121">
        <f t="shared" si="42"/>
        <v>0</v>
      </c>
      <c r="EK27" s="179">
        <f t="shared" si="43"/>
        <v>0</v>
      </c>
      <c r="EL27" s="121">
        <f t="shared" si="44"/>
        <v>0</v>
      </c>
      <c r="EM27" s="179">
        <f t="shared" si="45"/>
        <v>0</v>
      </c>
      <c r="EN27" s="122">
        <v>0</v>
      </c>
      <c r="EO27" s="251">
        <v>0</v>
      </c>
      <c r="EP27" s="122">
        <v>0</v>
      </c>
      <c r="EQ27" s="251">
        <v>0</v>
      </c>
      <c r="ER27" s="121">
        <v>0</v>
      </c>
      <c r="ES27" s="252">
        <v>0</v>
      </c>
      <c r="ET27" s="121">
        <v>0</v>
      </c>
      <c r="EU27" s="179">
        <v>0</v>
      </c>
      <c r="EV27" s="122">
        <v>0</v>
      </c>
      <c r="EW27" s="122">
        <v>0</v>
      </c>
      <c r="EX27" s="122">
        <v>0</v>
      </c>
      <c r="EY27" s="122">
        <v>0</v>
      </c>
      <c r="EZ27" s="187" t="s">
        <v>20</v>
      </c>
      <c r="FA27" s="181" t="s">
        <v>20</v>
      </c>
      <c r="FB27" s="189" t="s">
        <v>20</v>
      </c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 t="e">
        <f t="shared" si="48"/>
        <v>#DIV/0!</v>
      </c>
      <c r="FR27" s="121" t="e">
        <f t="shared" si="49"/>
        <v>#DIV/0!</v>
      </c>
      <c r="FS27" s="6"/>
      <c r="FT27" s="281"/>
    </row>
    <row r="28" spans="1:176" ht="14.25" customHeight="1">
      <c r="A28" s="56" t="s">
        <v>6</v>
      </c>
      <c r="B28" s="27" t="s">
        <v>20</v>
      </c>
      <c r="C28" s="121">
        <f t="shared" si="9"/>
        <v>13</v>
      </c>
      <c r="D28" s="179">
        <f t="shared" si="10"/>
        <v>43.179</v>
      </c>
      <c r="E28" s="121">
        <f t="shared" si="11"/>
        <v>0</v>
      </c>
      <c r="F28" s="121">
        <f t="shared" si="12"/>
        <v>0</v>
      </c>
      <c r="G28" s="121">
        <v>10</v>
      </c>
      <c r="H28" s="179">
        <v>7.279</v>
      </c>
      <c r="I28" s="121">
        <v>0</v>
      </c>
      <c r="J28" s="179">
        <v>0</v>
      </c>
      <c r="K28" s="121">
        <v>2</v>
      </c>
      <c r="L28" s="179">
        <v>2.9</v>
      </c>
      <c r="M28" s="121">
        <v>0</v>
      </c>
      <c r="N28" s="179">
        <v>0</v>
      </c>
      <c r="O28" s="179">
        <v>1</v>
      </c>
      <c r="P28" s="179">
        <v>33</v>
      </c>
      <c r="Q28" s="121">
        <v>0</v>
      </c>
      <c r="R28" s="179">
        <v>0</v>
      </c>
      <c r="S28" s="180" t="s">
        <v>20</v>
      </c>
      <c r="T28" s="181" t="s">
        <v>20</v>
      </c>
      <c r="U28" s="186" t="s">
        <v>20</v>
      </c>
      <c r="V28" s="121">
        <f t="shared" si="13"/>
        <v>13</v>
      </c>
      <c r="W28" s="179">
        <f t="shared" si="13"/>
        <v>51.2</v>
      </c>
      <c r="X28" s="121">
        <f t="shared" si="13"/>
        <v>2</v>
      </c>
      <c r="Y28" s="179">
        <f t="shared" si="13"/>
        <v>0.249</v>
      </c>
      <c r="Z28" s="121">
        <v>11</v>
      </c>
      <c r="AA28" s="179">
        <f>6.27+0.03</f>
        <v>6.3</v>
      </c>
      <c r="AB28" s="121">
        <v>1</v>
      </c>
      <c r="AC28" s="250">
        <v>0.03</v>
      </c>
      <c r="AD28" s="121">
        <v>1</v>
      </c>
      <c r="AE28" s="179">
        <v>4.9</v>
      </c>
      <c r="AF28" s="121">
        <v>1</v>
      </c>
      <c r="AG28" s="179">
        <v>0.219</v>
      </c>
      <c r="AH28" s="121">
        <v>1</v>
      </c>
      <c r="AI28" s="179">
        <v>40</v>
      </c>
      <c r="AJ28" s="122">
        <v>0</v>
      </c>
      <c r="AK28" s="122">
        <v>0</v>
      </c>
      <c r="AL28" s="187" t="s">
        <v>20</v>
      </c>
      <c r="AM28" s="181" t="s">
        <v>20</v>
      </c>
      <c r="AN28" s="188" t="s">
        <v>6</v>
      </c>
      <c r="AO28" s="189" t="s">
        <v>20</v>
      </c>
      <c r="AP28" s="121">
        <f t="shared" si="50"/>
        <v>100</v>
      </c>
      <c r="AQ28" s="121">
        <f t="shared" si="51"/>
        <v>118.57615970726512</v>
      </c>
      <c r="AR28" s="121" t="e">
        <f t="shared" si="52"/>
        <v>#DIV/0!</v>
      </c>
      <c r="AS28" s="121" t="e">
        <f t="shared" si="53"/>
        <v>#DIV/0!</v>
      </c>
      <c r="AT28" s="122">
        <f t="shared" si="54"/>
        <v>110.00000000000001</v>
      </c>
      <c r="AU28" s="122">
        <f t="shared" si="55"/>
        <v>86.55035032284655</v>
      </c>
      <c r="AV28" s="122" t="e">
        <f t="shared" si="56"/>
        <v>#DIV/0!</v>
      </c>
      <c r="AW28" s="122" t="e">
        <f t="shared" si="57"/>
        <v>#DIV/0!</v>
      </c>
      <c r="AX28" s="122">
        <f t="shared" si="58"/>
        <v>50</v>
      </c>
      <c r="AY28" s="122">
        <f t="shared" si="59"/>
        <v>168.96551724137933</v>
      </c>
      <c r="AZ28" s="122" t="e">
        <f t="shared" si="60"/>
        <v>#DIV/0!</v>
      </c>
      <c r="BA28" s="122" t="e">
        <f t="shared" si="61"/>
        <v>#DIV/0!</v>
      </c>
      <c r="BB28" s="122">
        <f t="shared" si="62"/>
        <v>100</v>
      </c>
      <c r="BC28" s="122">
        <f t="shared" si="63"/>
        <v>121.21212121212122</v>
      </c>
      <c r="BD28" s="122" t="e">
        <f t="shared" si="64"/>
        <v>#DIV/0!</v>
      </c>
      <c r="BE28" s="122" t="e">
        <f t="shared" si="65"/>
        <v>#DIV/0!</v>
      </c>
      <c r="BF28" s="122" t="e">
        <f t="shared" si="66"/>
        <v>#VALUE!</v>
      </c>
      <c r="BG28" s="190" t="e">
        <f t="shared" si="67"/>
        <v>#VALUE!</v>
      </c>
      <c r="BH28" s="186" t="s">
        <v>20</v>
      </c>
      <c r="BI28" s="188" t="s">
        <v>6</v>
      </c>
      <c r="BJ28" s="121">
        <f t="shared" si="14"/>
        <v>12</v>
      </c>
      <c r="BK28" s="179">
        <f t="shared" si="15"/>
        <v>11.54</v>
      </c>
      <c r="BL28" s="121">
        <f t="shared" si="16"/>
        <v>3</v>
      </c>
      <c r="BM28" s="179">
        <f t="shared" si="17"/>
        <v>8.11</v>
      </c>
      <c r="BN28" s="121">
        <v>10</v>
      </c>
      <c r="BO28" s="179">
        <f>0.031+0.331+0.076+0.031+0.44+2.1+0.822+1.9</f>
        <v>5.731</v>
      </c>
      <c r="BP28" s="252">
        <v>2</v>
      </c>
      <c r="BQ28" s="179">
        <f>0.21+4.7</f>
        <v>4.91</v>
      </c>
      <c r="BR28" s="121">
        <v>2</v>
      </c>
      <c r="BS28" s="179">
        <f>5.3+0.509</f>
        <v>5.809</v>
      </c>
      <c r="BT28" s="121">
        <v>1</v>
      </c>
      <c r="BU28" s="179">
        <v>3.2</v>
      </c>
      <c r="BV28" s="122">
        <v>0</v>
      </c>
      <c r="BW28" s="251">
        <v>0</v>
      </c>
      <c r="BX28" s="122">
        <v>0</v>
      </c>
      <c r="BY28" s="122">
        <v>0</v>
      </c>
      <c r="BZ28" s="187" t="s">
        <v>20</v>
      </c>
      <c r="CA28" s="181" t="s">
        <v>20</v>
      </c>
      <c r="CB28" s="188" t="s">
        <v>6</v>
      </c>
      <c r="CC28" s="189" t="s">
        <v>20</v>
      </c>
      <c r="CD28" s="122">
        <f t="shared" si="18"/>
        <v>92.3076923076923</v>
      </c>
      <c r="CE28" s="122">
        <f t="shared" si="19"/>
        <v>22.5390625</v>
      </c>
      <c r="CF28" s="122">
        <f t="shared" si="20"/>
        <v>150</v>
      </c>
      <c r="CG28" s="122">
        <f t="shared" si="21"/>
        <v>3257.0281124497988</v>
      </c>
      <c r="CH28" s="122">
        <f t="shared" si="22"/>
        <v>90.9090909090909</v>
      </c>
      <c r="CI28" s="122">
        <f t="shared" si="23"/>
        <v>90.96825396825396</v>
      </c>
      <c r="CJ28" s="122">
        <f t="shared" si="24"/>
        <v>200</v>
      </c>
      <c r="CK28" s="122">
        <f t="shared" si="25"/>
        <v>16366.666666666668</v>
      </c>
      <c r="CL28" s="122">
        <f t="shared" si="26"/>
        <v>200</v>
      </c>
      <c r="CM28" s="122">
        <f t="shared" si="27"/>
        <v>118.55102040816325</v>
      </c>
      <c r="CN28" s="122">
        <f t="shared" si="28"/>
        <v>100</v>
      </c>
      <c r="CO28" s="122">
        <f t="shared" si="29"/>
        <v>1461.1872146118722</v>
      </c>
      <c r="CP28" s="122">
        <f t="shared" si="30"/>
        <v>0</v>
      </c>
      <c r="CQ28" s="122">
        <f t="shared" si="31"/>
        <v>0</v>
      </c>
      <c r="CR28" s="122" t="e">
        <f t="shared" si="32"/>
        <v>#DIV/0!</v>
      </c>
      <c r="CS28" s="122" t="e">
        <f t="shared" si="33"/>
        <v>#DIV/0!</v>
      </c>
      <c r="CT28" s="122"/>
      <c r="CU28" s="191"/>
      <c r="CV28" s="192" t="s">
        <v>6</v>
      </c>
      <c r="CW28" s="121">
        <f t="shared" si="34"/>
        <v>14</v>
      </c>
      <c r="CX28" s="179">
        <f t="shared" si="35"/>
        <v>24.22</v>
      </c>
      <c r="CY28" s="121">
        <f t="shared" si="36"/>
        <v>1</v>
      </c>
      <c r="CZ28" s="179">
        <f t="shared" si="37"/>
        <v>3.9</v>
      </c>
      <c r="DA28" s="122">
        <v>12</v>
      </c>
      <c r="DB28" s="251">
        <v>11.23</v>
      </c>
      <c r="DC28" s="122">
        <v>0</v>
      </c>
      <c r="DD28" s="251">
        <v>0</v>
      </c>
      <c r="DE28" s="121">
        <v>2</v>
      </c>
      <c r="DF28" s="179">
        <f>11.8+1.19</f>
        <v>12.99</v>
      </c>
      <c r="DG28" s="121">
        <v>1</v>
      </c>
      <c r="DH28" s="179">
        <v>3.9</v>
      </c>
      <c r="DI28" s="122">
        <v>0</v>
      </c>
      <c r="DJ28" s="122">
        <v>0</v>
      </c>
      <c r="DK28" s="122">
        <v>0</v>
      </c>
      <c r="DL28" s="122">
        <v>0</v>
      </c>
      <c r="DM28" s="187" t="s">
        <v>20</v>
      </c>
      <c r="DN28" s="181" t="s">
        <v>20</v>
      </c>
      <c r="DO28" s="275" t="s">
        <v>6</v>
      </c>
      <c r="DP28" s="189" t="s">
        <v>20</v>
      </c>
      <c r="DQ28" s="122">
        <f t="shared" si="38"/>
        <v>116.66666666666667</v>
      </c>
      <c r="DR28" s="122">
        <f t="shared" si="39"/>
        <v>209.8786828422877</v>
      </c>
      <c r="DS28" s="122">
        <f t="shared" si="68"/>
        <v>33.33333333333333</v>
      </c>
      <c r="DT28" s="122">
        <f t="shared" si="69"/>
        <v>48.08877928483354</v>
      </c>
      <c r="DU28" s="122">
        <f t="shared" si="40"/>
        <v>120</v>
      </c>
      <c r="DV28" s="122">
        <f t="shared" si="41"/>
        <v>195.9518408654685</v>
      </c>
      <c r="DW28" s="122">
        <f t="shared" si="70"/>
        <v>0</v>
      </c>
      <c r="DX28" s="122">
        <f t="shared" si="71"/>
        <v>0</v>
      </c>
      <c r="DY28" s="122">
        <f>DE28/BR28*100</f>
        <v>100</v>
      </c>
      <c r="DZ28" s="122">
        <f>DF28/BS28*100</f>
        <v>223.61852298158033</v>
      </c>
      <c r="EA28" s="122">
        <f>DG28/BT28*100</f>
        <v>100</v>
      </c>
      <c r="EB28" s="122">
        <f>DH28/BU28*100</f>
        <v>121.875</v>
      </c>
      <c r="EC28" s="122"/>
      <c r="ED28" s="122"/>
      <c r="EE28" s="122"/>
      <c r="EF28" s="122"/>
      <c r="EG28" s="6"/>
      <c r="EH28" s="6"/>
      <c r="EI28" s="192" t="s">
        <v>6</v>
      </c>
      <c r="EJ28" s="121">
        <f t="shared" si="42"/>
        <v>13</v>
      </c>
      <c r="EK28" s="179">
        <f t="shared" si="43"/>
        <v>35.918</v>
      </c>
      <c r="EL28" s="121">
        <f t="shared" si="44"/>
        <v>1</v>
      </c>
      <c r="EM28" s="179">
        <f t="shared" si="45"/>
        <v>0.498</v>
      </c>
      <c r="EN28" s="122">
        <v>11</v>
      </c>
      <c r="EO28" s="251">
        <v>11.6</v>
      </c>
      <c r="EP28" s="122">
        <v>0</v>
      </c>
      <c r="EQ28" s="251">
        <v>0</v>
      </c>
      <c r="ER28" s="121">
        <v>2</v>
      </c>
      <c r="ES28" s="179">
        <f>23.476+0.842</f>
        <v>24.317999999999998</v>
      </c>
      <c r="ET28" s="121">
        <v>1</v>
      </c>
      <c r="EU28" s="179">
        <v>0.498</v>
      </c>
      <c r="EV28" s="122">
        <v>0</v>
      </c>
      <c r="EW28" s="122">
        <v>0</v>
      </c>
      <c r="EX28" s="122">
        <v>0</v>
      </c>
      <c r="EY28" s="122">
        <v>0</v>
      </c>
      <c r="EZ28" s="187" t="s">
        <v>20</v>
      </c>
      <c r="FA28" s="181" t="s">
        <v>20</v>
      </c>
      <c r="FB28" s="189" t="s">
        <v>20</v>
      </c>
      <c r="FC28" s="121">
        <f t="shared" si="46"/>
        <v>92.85714285714286</v>
      </c>
      <c r="FD28" s="121">
        <f t="shared" si="72"/>
        <v>148.298926507019</v>
      </c>
      <c r="FE28" s="121">
        <f t="shared" si="73"/>
        <v>100</v>
      </c>
      <c r="FF28" s="121">
        <f t="shared" si="74"/>
        <v>12.769230769230768</v>
      </c>
      <c r="FG28" s="121">
        <f t="shared" si="47"/>
        <v>91.66666666666666</v>
      </c>
      <c r="FH28" s="121">
        <f t="shared" si="75"/>
        <v>103.29474621549421</v>
      </c>
      <c r="FI28" s="121"/>
      <c r="FJ28" s="121"/>
      <c r="FK28" s="121">
        <f t="shared" si="78"/>
        <v>100</v>
      </c>
      <c r="FL28" s="121">
        <f>ES28/DF28*100</f>
        <v>187.2055427251732</v>
      </c>
      <c r="FM28" s="121">
        <f>ET28/DG28*100</f>
        <v>100</v>
      </c>
      <c r="FN28" s="121">
        <f>EU28/DH28*100</f>
        <v>12.769230769230768</v>
      </c>
      <c r="FO28" s="121"/>
      <c r="FP28" s="121"/>
      <c r="FQ28" s="121" t="e">
        <f t="shared" si="48"/>
        <v>#DIV/0!</v>
      </c>
      <c r="FR28" s="121" t="e">
        <f t="shared" si="49"/>
        <v>#DIV/0!</v>
      </c>
      <c r="FS28" s="6"/>
      <c r="FT28" s="281"/>
    </row>
    <row r="29" spans="1:176" ht="24" customHeight="1">
      <c r="A29" s="56" t="s">
        <v>16</v>
      </c>
      <c r="B29" s="27" t="s">
        <v>20</v>
      </c>
      <c r="C29" s="121">
        <f t="shared" si="9"/>
        <v>2</v>
      </c>
      <c r="D29" s="179">
        <f t="shared" si="10"/>
        <v>0.123</v>
      </c>
      <c r="E29" s="121">
        <f t="shared" si="11"/>
        <v>0</v>
      </c>
      <c r="F29" s="121">
        <f t="shared" si="12"/>
        <v>0</v>
      </c>
      <c r="G29" s="121">
        <v>2</v>
      </c>
      <c r="H29" s="179">
        <v>0.123</v>
      </c>
      <c r="I29" s="121">
        <v>0</v>
      </c>
      <c r="J29" s="179">
        <v>0</v>
      </c>
      <c r="K29" s="122">
        <v>0</v>
      </c>
      <c r="L29" s="251">
        <v>0</v>
      </c>
      <c r="M29" s="122">
        <v>0</v>
      </c>
      <c r="N29" s="251">
        <v>0</v>
      </c>
      <c r="O29" s="121">
        <v>0</v>
      </c>
      <c r="P29" s="179">
        <v>0</v>
      </c>
      <c r="Q29" s="121">
        <v>0</v>
      </c>
      <c r="R29" s="179">
        <v>0</v>
      </c>
      <c r="S29" s="180" t="s">
        <v>20</v>
      </c>
      <c r="T29" s="181" t="s">
        <v>20</v>
      </c>
      <c r="U29" s="186" t="s">
        <v>20</v>
      </c>
      <c r="V29" s="121">
        <f t="shared" si="13"/>
        <v>2</v>
      </c>
      <c r="W29" s="179">
        <f t="shared" si="13"/>
        <v>0.184</v>
      </c>
      <c r="X29" s="121">
        <f t="shared" si="13"/>
        <v>0</v>
      </c>
      <c r="Y29" s="179">
        <f t="shared" si="13"/>
        <v>0</v>
      </c>
      <c r="Z29" s="121">
        <v>2</v>
      </c>
      <c r="AA29" s="179">
        <v>0.184</v>
      </c>
      <c r="AB29" s="121">
        <v>0</v>
      </c>
      <c r="AC29" s="179">
        <v>0</v>
      </c>
      <c r="AD29" s="122">
        <v>0</v>
      </c>
      <c r="AE29" s="251">
        <v>0</v>
      </c>
      <c r="AF29" s="122">
        <v>0</v>
      </c>
      <c r="AG29" s="251">
        <v>0</v>
      </c>
      <c r="AH29" s="122">
        <v>0</v>
      </c>
      <c r="AI29" s="122">
        <v>0</v>
      </c>
      <c r="AJ29" s="122">
        <v>0</v>
      </c>
      <c r="AK29" s="122">
        <v>0</v>
      </c>
      <c r="AL29" s="187" t="s">
        <v>20</v>
      </c>
      <c r="AM29" s="181" t="s">
        <v>20</v>
      </c>
      <c r="AN29" s="188" t="s">
        <v>16</v>
      </c>
      <c r="AO29" s="189" t="s">
        <v>20</v>
      </c>
      <c r="AP29" s="121">
        <f t="shared" si="50"/>
        <v>100</v>
      </c>
      <c r="AQ29" s="121">
        <f t="shared" si="51"/>
        <v>149.59349593495935</v>
      </c>
      <c r="AR29" s="121" t="e">
        <f t="shared" si="52"/>
        <v>#DIV/0!</v>
      </c>
      <c r="AS29" s="121" t="e">
        <f t="shared" si="53"/>
        <v>#DIV/0!</v>
      </c>
      <c r="AT29" s="122">
        <f t="shared" si="54"/>
        <v>100</v>
      </c>
      <c r="AU29" s="122">
        <f t="shared" si="55"/>
        <v>149.59349593495935</v>
      </c>
      <c r="AV29" s="122" t="e">
        <f t="shared" si="56"/>
        <v>#DIV/0!</v>
      </c>
      <c r="AW29" s="122" t="e">
        <f t="shared" si="57"/>
        <v>#DIV/0!</v>
      </c>
      <c r="AX29" s="122" t="e">
        <f t="shared" si="58"/>
        <v>#DIV/0!</v>
      </c>
      <c r="AY29" s="122" t="e">
        <f t="shared" si="59"/>
        <v>#DIV/0!</v>
      </c>
      <c r="AZ29" s="122" t="e">
        <f t="shared" si="60"/>
        <v>#DIV/0!</v>
      </c>
      <c r="BA29" s="122" t="e">
        <f t="shared" si="61"/>
        <v>#DIV/0!</v>
      </c>
      <c r="BB29" s="122" t="e">
        <f t="shared" si="62"/>
        <v>#DIV/0!</v>
      </c>
      <c r="BC29" s="122" t="e">
        <f t="shared" si="63"/>
        <v>#DIV/0!</v>
      </c>
      <c r="BD29" s="122" t="e">
        <f t="shared" si="64"/>
        <v>#DIV/0!</v>
      </c>
      <c r="BE29" s="122" t="e">
        <f t="shared" si="65"/>
        <v>#DIV/0!</v>
      </c>
      <c r="BF29" s="122" t="e">
        <f t="shared" si="66"/>
        <v>#VALUE!</v>
      </c>
      <c r="BG29" s="190" t="e">
        <f t="shared" si="67"/>
        <v>#VALUE!</v>
      </c>
      <c r="BH29" s="186" t="s">
        <v>20</v>
      </c>
      <c r="BI29" s="188" t="s">
        <v>16</v>
      </c>
      <c r="BJ29" s="121">
        <f t="shared" si="14"/>
        <v>2</v>
      </c>
      <c r="BK29" s="179">
        <f t="shared" si="15"/>
        <v>0.116</v>
      </c>
      <c r="BL29" s="121">
        <f t="shared" si="16"/>
        <v>0</v>
      </c>
      <c r="BM29" s="179">
        <f t="shared" si="17"/>
        <v>0</v>
      </c>
      <c r="BN29" s="121">
        <v>2</v>
      </c>
      <c r="BO29" s="179">
        <v>0.116</v>
      </c>
      <c r="BP29" s="252">
        <v>0</v>
      </c>
      <c r="BQ29" s="179">
        <v>0</v>
      </c>
      <c r="BR29" s="122">
        <v>0</v>
      </c>
      <c r="BS29" s="251">
        <v>0</v>
      </c>
      <c r="BT29" s="122">
        <v>0</v>
      </c>
      <c r="BU29" s="251">
        <v>0</v>
      </c>
      <c r="BV29" s="122">
        <v>0</v>
      </c>
      <c r="BW29" s="122">
        <v>0</v>
      </c>
      <c r="BX29" s="122">
        <v>0</v>
      </c>
      <c r="BY29" s="122">
        <v>0</v>
      </c>
      <c r="BZ29" s="187" t="s">
        <v>20</v>
      </c>
      <c r="CA29" s="181" t="s">
        <v>20</v>
      </c>
      <c r="CB29" s="188" t="s">
        <v>16</v>
      </c>
      <c r="CC29" s="189" t="s">
        <v>20</v>
      </c>
      <c r="CD29" s="122">
        <f t="shared" si="18"/>
        <v>100</v>
      </c>
      <c r="CE29" s="122">
        <f t="shared" si="19"/>
        <v>63.04347826086957</v>
      </c>
      <c r="CF29" s="122" t="e">
        <f t="shared" si="20"/>
        <v>#DIV/0!</v>
      </c>
      <c r="CG29" s="122" t="e">
        <f t="shared" si="21"/>
        <v>#DIV/0!</v>
      </c>
      <c r="CH29" s="122">
        <f t="shared" si="22"/>
        <v>100</v>
      </c>
      <c r="CI29" s="122">
        <f t="shared" si="23"/>
        <v>63.04347826086957</v>
      </c>
      <c r="CJ29" s="122" t="e">
        <f t="shared" si="24"/>
        <v>#DIV/0!</v>
      </c>
      <c r="CK29" s="122" t="e">
        <f t="shared" si="25"/>
        <v>#DIV/0!</v>
      </c>
      <c r="CL29" s="122" t="e">
        <f t="shared" si="26"/>
        <v>#DIV/0!</v>
      </c>
      <c r="CM29" s="122" t="e">
        <f t="shared" si="27"/>
        <v>#DIV/0!</v>
      </c>
      <c r="CN29" s="122" t="e">
        <f t="shared" si="28"/>
        <v>#DIV/0!</v>
      </c>
      <c r="CO29" s="122" t="e">
        <f t="shared" si="29"/>
        <v>#DIV/0!</v>
      </c>
      <c r="CP29" s="122" t="e">
        <f t="shared" si="30"/>
        <v>#DIV/0!</v>
      </c>
      <c r="CQ29" s="122" t="e">
        <f t="shared" si="31"/>
        <v>#DIV/0!</v>
      </c>
      <c r="CR29" s="122" t="e">
        <f t="shared" si="32"/>
        <v>#DIV/0!</v>
      </c>
      <c r="CS29" s="122" t="e">
        <f t="shared" si="33"/>
        <v>#DIV/0!</v>
      </c>
      <c r="CT29" s="122"/>
      <c r="CU29" s="191"/>
      <c r="CV29" s="192" t="s">
        <v>16</v>
      </c>
      <c r="CW29" s="121">
        <f t="shared" si="34"/>
        <v>1</v>
      </c>
      <c r="CX29" s="179">
        <f t="shared" si="35"/>
        <v>0</v>
      </c>
      <c r="CY29" s="121">
        <f t="shared" si="36"/>
        <v>1</v>
      </c>
      <c r="CZ29" s="179">
        <f t="shared" si="37"/>
        <v>0.13</v>
      </c>
      <c r="DA29" s="122">
        <v>1</v>
      </c>
      <c r="DB29" s="251">
        <v>0</v>
      </c>
      <c r="DC29" s="122">
        <v>1</v>
      </c>
      <c r="DD29" s="251">
        <v>0.13</v>
      </c>
      <c r="DE29" s="121">
        <v>0</v>
      </c>
      <c r="DF29" s="121">
        <v>0</v>
      </c>
      <c r="DG29" s="121">
        <v>0</v>
      </c>
      <c r="DH29" s="121">
        <v>0</v>
      </c>
      <c r="DI29" s="122">
        <v>0</v>
      </c>
      <c r="DJ29" s="122">
        <v>0</v>
      </c>
      <c r="DK29" s="122">
        <v>0</v>
      </c>
      <c r="DL29" s="122">
        <v>0</v>
      </c>
      <c r="DM29" s="187" t="s">
        <v>20</v>
      </c>
      <c r="DN29" s="181" t="s">
        <v>20</v>
      </c>
      <c r="DO29" s="275" t="s">
        <v>16</v>
      </c>
      <c r="DP29" s="189" t="s">
        <v>20</v>
      </c>
      <c r="DQ29" s="122">
        <f t="shared" si="38"/>
        <v>50</v>
      </c>
      <c r="DR29" s="122">
        <f t="shared" si="39"/>
        <v>0</v>
      </c>
      <c r="DS29" s="122"/>
      <c r="DT29" s="122"/>
      <c r="DU29" s="122">
        <f t="shared" si="40"/>
        <v>50</v>
      </c>
      <c r="DV29" s="122">
        <f t="shared" si="41"/>
        <v>0</v>
      </c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6"/>
      <c r="EH29" s="6"/>
      <c r="EI29" s="192" t="s">
        <v>16</v>
      </c>
      <c r="EJ29" s="121">
        <f t="shared" si="42"/>
        <v>2</v>
      </c>
      <c r="EK29" s="179">
        <f t="shared" si="43"/>
        <v>0.03</v>
      </c>
      <c r="EL29" s="121">
        <f t="shared" si="44"/>
        <v>0</v>
      </c>
      <c r="EM29" s="179">
        <f t="shared" si="45"/>
        <v>0</v>
      </c>
      <c r="EN29" s="122">
        <v>2</v>
      </c>
      <c r="EO29" s="251">
        <v>0.03</v>
      </c>
      <c r="EP29" s="122">
        <v>0</v>
      </c>
      <c r="EQ29" s="251">
        <v>0</v>
      </c>
      <c r="ER29" s="121">
        <v>0</v>
      </c>
      <c r="ES29" s="121">
        <v>0</v>
      </c>
      <c r="ET29" s="121">
        <v>0</v>
      </c>
      <c r="EU29" s="121">
        <v>0</v>
      </c>
      <c r="EV29" s="122">
        <v>0</v>
      </c>
      <c r="EW29" s="122">
        <v>0</v>
      </c>
      <c r="EX29" s="122">
        <v>0</v>
      </c>
      <c r="EY29" s="122">
        <v>0</v>
      </c>
      <c r="EZ29" s="187" t="s">
        <v>20</v>
      </c>
      <c r="FA29" s="181" t="s">
        <v>20</v>
      </c>
      <c r="FB29" s="189" t="s">
        <v>20</v>
      </c>
      <c r="FC29" s="121">
        <f t="shared" si="46"/>
        <v>200</v>
      </c>
      <c r="FD29" s="121"/>
      <c r="FE29" s="121">
        <f t="shared" si="73"/>
        <v>0</v>
      </c>
      <c r="FF29" s="121">
        <f t="shared" si="74"/>
        <v>0</v>
      </c>
      <c r="FG29" s="121">
        <f t="shared" si="47"/>
        <v>200</v>
      </c>
      <c r="FH29" s="121"/>
      <c r="FI29" s="121">
        <f t="shared" si="76"/>
        <v>0</v>
      </c>
      <c r="FJ29" s="121">
        <f t="shared" si="77"/>
        <v>0</v>
      </c>
      <c r="FK29" s="121"/>
      <c r="FL29" s="121"/>
      <c r="FM29" s="121"/>
      <c r="FN29" s="121"/>
      <c r="FO29" s="121"/>
      <c r="FP29" s="121"/>
      <c r="FQ29" s="121" t="e">
        <f t="shared" si="48"/>
        <v>#DIV/0!</v>
      </c>
      <c r="FR29" s="121" t="e">
        <f t="shared" si="49"/>
        <v>#DIV/0!</v>
      </c>
      <c r="FS29" s="6"/>
      <c r="FT29" s="281"/>
    </row>
    <row r="30" spans="1:176" ht="41.25" customHeight="1">
      <c r="A30" s="64" t="s">
        <v>45</v>
      </c>
      <c r="B30" s="27" t="s">
        <v>20</v>
      </c>
      <c r="C30" s="121">
        <f t="shared" si="9"/>
        <v>2</v>
      </c>
      <c r="D30" s="179">
        <f t="shared" si="10"/>
        <v>0</v>
      </c>
      <c r="E30" s="121">
        <f t="shared" si="11"/>
        <v>0</v>
      </c>
      <c r="F30" s="121">
        <f t="shared" si="12"/>
        <v>0</v>
      </c>
      <c r="G30" s="121">
        <v>2</v>
      </c>
      <c r="H30" s="179">
        <v>0</v>
      </c>
      <c r="I30" s="121">
        <v>0</v>
      </c>
      <c r="J30" s="179">
        <v>0</v>
      </c>
      <c r="K30" s="122">
        <v>0</v>
      </c>
      <c r="L30" s="251">
        <v>0</v>
      </c>
      <c r="M30" s="122">
        <v>0</v>
      </c>
      <c r="N30" s="251">
        <v>0</v>
      </c>
      <c r="O30" s="121">
        <v>0</v>
      </c>
      <c r="P30" s="179">
        <v>0</v>
      </c>
      <c r="Q30" s="121">
        <v>0</v>
      </c>
      <c r="R30" s="179">
        <v>0</v>
      </c>
      <c r="S30" s="180" t="s">
        <v>20</v>
      </c>
      <c r="T30" s="181" t="s">
        <v>20</v>
      </c>
      <c r="U30" s="186" t="s">
        <v>20</v>
      </c>
      <c r="V30" s="121">
        <f t="shared" si="13"/>
        <v>1</v>
      </c>
      <c r="W30" s="179">
        <f t="shared" si="13"/>
        <v>0</v>
      </c>
      <c r="X30" s="121">
        <f t="shared" si="13"/>
        <v>0</v>
      </c>
      <c r="Y30" s="179">
        <f t="shared" si="13"/>
        <v>0</v>
      </c>
      <c r="Z30" s="121">
        <v>1</v>
      </c>
      <c r="AA30" s="179">
        <v>0</v>
      </c>
      <c r="AB30" s="121">
        <v>0</v>
      </c>
      <c r="AC30" s="179">
        <v>0</v>
      </c>
      <c r="AD30" s="122">
        <v>0</v>
      </c>
      <c r="AE30" s="251">
        <v>0</v>
      </c>
      <c r="AF30" s="122">
        <v>0</v>
      </c>
      <c r="AG30" s="251">
        <v>0</v>
      </c>
      <c r="AH30" s="122">
        <v>0</v>
      </c>
      <c r="AI30" s="122">
        <v>0</v>
      </c>
      <c r="AJ30" s="122">
        <v>0</v>
      </c>
      <c r="AK30" s="122">
        <v>0</v>
      </c>
      <c r="AL30" s="187" t="s">
        <v>20</v>
      </c>
      <c r="AM30" s="181" t="s">
        <v>20</v>
      </c>
      <c r="AN30" s="197" t="s">
        <v>31</v>
      </c>
      <c r="AO30" s="189" t="s">
        <v>20</v>
      </c>
      <c r="AP30" s="121">
        <f t="shared" si="50"/>
        <v>50</v>
      </c>
      <c r="AQ30" s="121" t="e">
        <f t="shared" si="51"/>
        <v>#DIV/0!</v>
      </c>
      <c r="AR30" s="121" t="e">
        <f t="shared" si="52"/>
        <v>#DIV/0!</v>
      </c>
      <c r="AS30" s="121" t="e">
        <f t="shared" si="53"/>
        <v>#DIV/0!</v>
      </c>
      <c r="AT30" s="122">
        <f t="shared" si="54"/>
        <v>50</v>
      </c>
      <c r="AU30" s="122" t="e">
        <f t="shared" si="55"/>
        <v>#DIV/0!</v>
      </c>
      <c r="AV30" s="122" t="e">
        <f t="shared" si="56"/>
        <v>#DIV/0!</v>
      </c>
      <c r="AW30" s="122" t="e">
        <f t="shared" si="57"/>
        <v>#DIV/0!</v>
      </c>
      <c r="AX30" s="122" t="e">
        <f t="shared" si="58"/>
        <v>#DIV/0!</v>
      </c>
      <c r="AY30" s="122" t="e">
        <f t="shared" si="59"/>
        <v>#DIV/0!</v>
      </c>
      <c r="AZ30" s="122" t="e">
        <f t="shared" si="60"/>
        <v>#DIV/0!</v>
      </c>
      <c r="BA30" s="122" t="e">
        <f t="shared" si="61"/>
        <v>#DIV/0!</v>
      </c>
      <c r="BB30" s="122" t="e">
        <f t="shared" si="62"/>
        <v>#DIV/0!</v>
      </c>
      <c r="BC30" s="122" t="e">
        <f t="shared" si="63"/>
        <v>#DIV/0!</v>
      </c>
      <c r="BD30" s="122" t="e">
        <f t="shared" si="64"/>
        <v>#DIV/0!</v>
      </c>
      <c r="BE30" s="122" t="e">
        <f t="shared" si="65"/>
        <v>#DIV/0!</v>
      </c>
      <c r="BF30" s="122" t="e">
        <f t="shared" si="66"/>
        <v>#VALUE!</v>
      </c>
      <c r="BG30" s="190" t="e">
        <f t="shared" si="67"/>
        <v>#VALUE!</v>
      </c>
      <c r="BH30" s="186" t="s">
        <v>20</v>
      </c>
      <c r="BI30" s="197" t="s">
        <v>31</v>
      </c>
      <c r="BJ30" s="121">
        <f t="shared" si="14"/>
        <v>2</v>
      </c>
      <c r="BK30" s="179">
        <f t="shared" si="15"/>
        <v>0</v>
      </c>
      <c r="BL30" s="121">
        <f t="shared" si="16"/>
        <v>0</v>
      </c>
      <c r="BM30" s="179">
        <f t="shared" si="17"/>
        <v>0</v>
      </c>
      <c r="BN30" s="121">
        <v>2</v>
      </c>
      <c r="BO30" s="252">
        <v>0</v>
      </c>
      <c r="BP30" s="252">
        <v>0</v>
      </c>
      <c r="BQ30" s="179">
        <v>0</v>
      </c>
      <c r="BR30" s="122">
        <v>0</v>
      </c>
      <c r="BS30" s="251">
        <v>0</v>
      </c>
      <c r="BT30" s="122">
        <v>0</v>
      </c>
      <c r="BU30" s="251">
        <v>0</v>
      </c>
      <c r="BV30" s="122">
        <v>0</v>
      </c>
      <c r="BW30" s="122">
        <v>0</v>
      </c>
      <c r="BX30" s="122">
        <v>0</v>
      </c>
      <c r="BY30" s="122">
        <v>0</v>
      </c>
      <c r="BZ30" s="187" t="s">
        <v>20</v>
      </c>
      <c r="CA30" s="181" t="s">
        <v>20</v>
      </c>
      <c r="CB30" s="197" t="s">
        <v>31</v>
      </c>
      <c r="CC30" s="189" t="s">
        <v>20</v>
      </c>
      <c r="CD30" s="122">
        <f t="shared" si="18"/>
        <v>200</v>
      </c>
      <c r="CE30" s="122" t="e">
        <f t="shared" si="19"/>
        <v>#DIV/0!</v>
      </c>
      <c r="CF30" s="122" t="e">
        <f t="shared" si="20"/>
        <v>#DIV/0!</v>
      </c>
      <c r="CG30" s="122" t="e">
        <f t="shared" si="21"/>
        <v>#DIV/0!</v>
      </c>
      <c r="CH30" s="122">
        <f t="shared" si="22"/>
        <v>200</v>
      </c>
      <c r="CI30" s="122" t="e">
        <f t="shared" si="23"/>
        <v>#DIV/0!</v>
      </c>
      <c r="CJ30" s="122" t="e">
        <f t="shared" si="24"/>
        <v>#DIV/0!</v>
      </c>
      <c r="CK30" s="122" t="e">
        <f t="shared" si="25"/>
        <v>#DIV/0!</v>
      </c>
      <c r="CL30" s="122" t="e">
        <f t="shared" si="26"/>
        <v>#DIV/0!</v>
      </c>
      <c r="CM30" s="122" t="e">
        <f t="shared" si="27"/>
        <v>#DIV/0!</v>
      </c>
      <c r="CN30" s="122" t="e">
        <f t="shared" si="28"/>
        <v>#DIV/0!</v>
      </c>
      <c r="CO30" s="122" t="e">
        <f t="shared" si="29"/>
        <v>#DIV/0!</v>
      </c>
      <c r="CP30" s="122" t="e">
        <f t="shared" si="30"/>
        <v>#DIV/0!</v>
      </c>
      <c r="CQ30" s="122" t="e">
        <f t="shared" si="31"/>
        <v>#DIV/0!</v>
      </c>
      <c r="CR30" s="122" t="e">
        <f t="shared" si="32"/>
        <v>#DIV/0!</v>
      </c>
      <c r="CS30" s="122" t="e">
        <f t="shared" si="33"/>
        <v>#DIV/0!</v>
      </c>
      <c r="CT30" s="122"/>
      <c r="CU30" s="191"/>
      <c r="CV30" s="198" t="s">
        <v>31</v>
      </c>
      <c r="CW30" s="121">
        <f t="shared" si="34"/>
        <v>0</v>
      </c>
      <c r="CX30" s="179">
        <f t="shared" si="35"/>
        <v>0</v>
      </c>
      <c r="CY30" s="121">
        <f t="shared" si="36"/>
        <v>0</v>
      </c>
      <c r="CZ30" s="179">
        <f t="shared" si="37"/>
        <v>0</v>
      </c>
      <c r="DA30" s="122">
        <v>0</v>
      </c>
      <c r="DB30" s="251">
        <v>0</v>
      </c>
      <c r="DC30" s="122">
        <v>0</v>
      </c>
      <c r="DD30" s="251">
        <v>0</v>
      </c>
      <c r="DE30" s="121">
        <v>0</v>
      </c>
      <c r="DF30" s="121">
        <v>0</v>
      </c>
      <c r="DG30" s="121">
        <v>0</v>
      </c>
      <c r="DH30" s="121">
        <v>0</v>
      </c>
      <c r="DI30" s="122">
        <v>0</v>
      </c>
      <c r="DJ30" s="122">
        <v>0</v>
      </c>
      <c r="DK30" s="122">
        <v>0</v>
      </c>
      <c r="DL30" s="122">
        <v>0</v>
      </c>
      <c r="DM30" s="187" t="s">
        <v>20</v>
      </c>
      <c r="DN30" s="181" t="s">
        <v>20</v>
      </c>
      <c r="DO30" s="278" t="s">
        <v>31</v>
      </c>
      <c r="DP30" s="189" t="s">
        <v>20</v>
      </c>
      <c r="DQ30" s="122">
        <f t="shared" si="38"/>
        <v>0</v>
      </c>
      <c r="DR30" s="122"/>
      <c r="DS30" s="122"/>
      <c r="DT30" s="122"/>
      <c r="DU30" s="122">
        <f t="shared" si="40"/>
        <v>0</v>
      </c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6"/>
      <c r="EH30" s="6"/>
      <c r="EI30" s="198" t="s">
        <v>31</v>
      </c>
      <c r="EJ30" s="121">
        <f t="shared" si="42"/>
        <v>1</v>
      </c>
      <c r="EK30" s="179">
        <f t="shared" si="43"/>
        <v>0</v>
      </c>
      <c r="EL30" s="121">
        <f t="shared" si="44"/>
        <v>0</v>
      </c>
      <c r="EM30" s="179">
        <f t="shared" si="45"/>
        <v>0</v>
      </c>
      <c r="EN30" s="122">
        <v>1</v>
      </c>
      <c r="EO30" s="251">
        <v>0</v>
      </c>
      <c r="EP30" s="122">
        <v>0</v>
      </c>
      <c r="EQ30" s="251">
        <v>0</v>
      </c>
      <c r="ER30" s="121">
        <v>0</v>
      </c>
      <c r="ES30" s="121">
        <v>0</v>
      </c>
      <c r="ET30" s="121">
        <v>0</v>
      </c>
      <c r="EU30" s="121">
        <v>0</v>
      </c>
      <c r="EV30" s="122">
        <v>0</v>
      </c>
      <c r="EW30" s="122">
        <v>0</v>
      </c>
      <c r="EX30" s="122">
        <v>0</v>
      </c>
      <c r="EY30" s="122">
        <v>0</v>
      </c>
      <c r="EZ30" s="187" t="s">
        <v>20</v>
      </c>
      <c r="FA30" s="181" t="s">
        <v>20</v>
      </c>
      <c r="FB30" s="189" t="s">
        <v>20</v>
      </c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 t="e">
        <f t="shared" si="48"/>
        <v>#DIV/0!</v>
      </c>
      <c r="FR30" s="121" t="e">
        <f t="shared" si="49"/>
        <v>#DIV/0!</v>
      </c>
      <c r="FS30" s="6"/>
      <c r="FT30" s="281"/>
    </row>
    <row r="31" spans="1:176" ht="22.5" customHeight="1">
      <c r="A31" s="65" t="s">
        <v>32</v>
      </c>
      <c r="B31" s="27" t="s">
        <v>20</v>
      </c>
      <c r="C31" s="121">
        <f t="shared" si="9"/>
        <v>6</v>
      </c>
      <c r="D31" s="179">
        <f t="shared" si="10"/>
        <v>1.06</v>
      </c>
      <c r="E31" s="121">
        <f t="shared" si="11"/>
        <v>1</v>
      </c>
      <c r="F31" s="121">
        <f t="shared" si="12"/>
        <v>0.2</v>
      </c>
      <c r="G31" s="121">
        <v>6</v>
      </c>
      <c r="H31" s="179">
        <f>0.86+0.2</f>
        <v>1.06</v>
      </c>
      <c r="I31" s="121">
        <v>1</v>
      </c>
      <c r="J31" s="179">
        <v>0.2</v>
      </c>
      <c r="K31" s="122">
        <v>0</v>
      </c>
      <c r="L31" s="251">
        <v>0</v>
      </c>
      <c r="M31" s="122">
        <v>0</v>
      </c>
      <c r="N31" s="251">
        <v>0</v>
      </c>
      <c r="O31" s="121">
        <v>0</v>
      </c>
      <c r="P31" s="179">
        <v>0</v>
      </c>
      <c r="Q31" s="121">
        <v>0</v>
      </c>
      <c r="R31" s="179">
        <v>0</v>
      </c>
      <c r="S31" s="180" t="s">
        <v>20</v>
      </c>
      <c r="T31" s="181" t="s">
        <v>20</v>
      </c>
      <c r="U31" s="186" t="s">
        <v>20</v>
      </c>
      <c r="V31" s="121">
        <f t="shared" si="13"/>
        <v>4</v>
      </c>
      <c r="W31" s="179">
        <f t="shared" si="13"/>
        <v>1.02</v>
      </c>
      <c r="X31" s="121">
        <f t="shared" si="13"/>
        <v>2</v>
      </c>
      <c r="Y31" s="179">
        <f t="shared" si="13"/>
        <v>0.42</v>
      </c>
      <c r="Z31" s="121">
        <v>4</v>
      </c>
      <c r="AA31" s="179">
        <f>0.6+AC31</f>
        <v>1.02</v>
      </c>
      <c r="AB31" s="121">
        <f>2</f>
        <v>2</v>
      </c>
      <c r="AC31" s="179">
        <f>0.37+0.05</f>
        <v>0.42</v>
      </c>
      <c r="AD31" s="122">
        <v>0</v>
      </c>
      <c r="AE31" s="251">
        <v>0</v>
      </c>
      <c r="AF31" s="122">
        <v>0</v>
      </c>
      <c r="AG31" s="251">
        <v>0</v>
      </c>
      <c r="AH31" s="122">
        <v>0</v>
      </c>
      <c r="AI31" s="122">
        <v>0</v>
      </c>
      <c r="AJ31" s="122">
        <v>0</v>
      </c>
      <c r="AK31" s="122">
        <v>0</v>
      </c>
      <c r="AL31" s="187" t="s">
        <v>20</v>
      </c>
      <c r="AM31" s="181" t="s">
        <v>20</v>
      </c>
      <c r="AN31" s="199" t="s">
        <v>32</v>
      </c>
      <c r="AO31" s="189" t="s">
        <v>20</v>
      </c>
      <c r="AP31" s="121">
        <f t="shared" si="50"/>
        <v>66.66666666666666</v>
      </c>
      <c r="AQ31" s="121">
        <f t="shared" si="51"/>
        <v>96.22641509433963</v>
      </c>
      <c r="AR31" s="121">
        <f t="shared" si="52"/>
        <v>200</v>
      </c>
      <c r="AS31" s="121">
        <f t="shared" si="53"/>
        <v>209.99999999999997</v>
      </c>
      <c r="AT31" s="122">
        <f t="shared" si="54"/>
        <v>66.66666666666666</v>
      </c>
      <c r="AU31" s="122">
        <f t="shared" si="55"/>
        <v>96.22641509433963</v>
      </c>
      <c r="AV31" s="122">
        <f t="shared" si="56"/>
        <v>200</v>
      </c>
      <c r="AW31" s="122">
        <f t="shared" si="57"/>
        <v>209.99999999999997</v>
      </c>
      <c r="AX31" s="122" t="e">
        <f t="shared" si="58"/>
        <v>#DIV/0!</v>
      </c>
      <c r="AY31" s="122" t="e">
        <f t="shared" si="59"/>
        <v>#DIV/0!</v>
      </c>
      <c r="AZ31" s="122" t="e">
        <f t="shared" si="60"/>
        <v>#DIV/0!</v>
      </c>
      <c r="BA31" s="122" t="e">
        <f t="shared" si="61"/>
        <v>#DIV/0!</v>
      </c>
      <c r="BB31" s="122" t="e">
        <f t="shared" si="62"/>
        <v>#DIV/0!</v>
      </c>
      <c r="BC31" s="122" t="e">
        <f t="shared" si="63"/>
        <v>#DIV/0!</v>
      </c>
      <c r="BD31" s="122" t="e">
        <f t="shared" si="64"/>
        <v>#DIV/0!</v>
      </c>
      <c r="BE31" s="122" t="e">
        <f t="shared" si="65"/>
        <v>#DIV/0!</v>
      </c>
      <c r="BF31" s="122" t="e">
        <f t="shared" si="66"/>
        <v>#VALUE!</v>
      </c>
      <c r="BG31" s="190" t="e">
        <f t="shared" si="67"/>
        <v>#VALUE!</v>
      </c>
      <c r="BH31" s="186" t="s">
        <v>20</v>
      </c>
      <c r="BI31" s="199" t="s">
        <v>32</v>
      </c>
      <c r="BJ31" s="121">
        <f t="shared" si="14"/>
        <v>4</v>
      </c>
      <c r="BK31" s="179">
        <f t="shared" si="15"/>
        <v>0.7300000000000001</v>
      </c>
      <c r="BL31" s="121">
        <f t="shared" si="16"/>
        <v>3</v>
      </c>
      <c r="BM31" s="179">
        <f t="shared" si="17"/>
        <v>0.4</v>
      </c>
      <c r="BN31" s="121">
        <v>4</v>
      </c>
      <c r="BO31" s="179">
        <f>0.5+0.17+0.05+0.01</f>
        <v>0.7300000000000001</v>
      </c>
      <c r="BP31" s="252">
        <v>3</v>
      </c>
      <c r="BQ31" s="179">
        <f>0.31+0.07+0.02</f>
        <v>0.4</v>
      </c>
      <c r="BR31" s="122">
        <v>0</v>
      </c>
      <c r="BS31" s="251">
        <v>0</v>
      </c>
      <c r="BT31" s="122">
        <v>0</v>
      </c>
      <c r="BU31" s="251">
        <v>0</v>
      </c>
      <c r="BV31" s="122">
        <v>0</v>
      </c>
      <c r="BW31" s="122">
        <v>0</v>
      </c>
      <c r="BX31" s="122">
        <v>0</v>
      </c>
      <c r="BY31" s="122">
        <v>0</v>
      </c>
      <c r="BZ31" s="187" t="s">
        <v>20</v>
      </c>
      <c r="CA31" s="181" t="s">
        <v>20</v>
      </c>
      <c r="CB31" s="199" t="s">
        <v>32</v>
      </c>
      <c r="CC31" s="189" t="s">
        <v>20</v>
      </c>
      <c r="CD31" s="122">
        <f t="shared" si="18"/>
        <v>100</v>
      </c>
      <c r="CE31" s="122">
        <f t="shared" si="19"/>
        <v>71.5686274509804</v>
      </c>
      <c r="CF31" s="122">
        <f t="shared" si="20"/>
        <v>150</v>
      </c>
      <c r="CG31" s="122">
        <f t="shared" si="21"/>
        <v>95.23809523809524</v>
      </c>
      <c r="CH31" s="122">
        <f t="shared" si="22"/>
        <v>100</v>
      </c>
      <c r="CI31" s="122">
        <f t="shared" si="23"/>
        <v>71.5686274509804</v>
      </c>
      <c r="CJ31" s="122">
        <f t="shared" si="24"/>
        <v>150</v>
      </c>
      <c r="CK31" s="122">
        <f t="shared" si="25"/>
        <v>95.23809523809524</v>
      </c>
      <c r="CL31" s="122" t="e">
        <f t="shared" si="26"/>
        <v>#DIV/0!</v>
      </c>
      <c r="CM31" s="122" t="e">
        <f t="shared" si="27"/>
        <v>#DIV/0!</v>
      </c>
      <c r="CN31" s="122" t="e">
        <f t="shared" si="28"/>
        <v>#DIV/0!</v>
      </c>
      <c r="CO31" s="122" t="e">
        <f t="shared" si="29"/>
        <v>#DIV/0!</v>
      </c>
      <c r="CP31" s="122" t="e">
        <f t="shared" si="30"/>
        <v>#DIV/0!</v>
      </c>
      <c r="CQ31" s="122" t="e">
        <f t="shared" si="31"/>
        <v>#DIV/0!</v>
      </c>
      <c r="CR31" s="122" t="e">
        <f t="shared" si="32"/>
        <v>#DIV/0!</v>
      </c>
      <c r="CS31" s="122" t="e">
        <f t="shared" si="33"/>
        <v>#DIV/0!</v>
      </c>
      <c r="CT31" s="122"/>
      <c r="CU31" s="191"/>
      <c r="CV31" s="200" t="s">
        <v>32</v>
      </c>
      <c r="CW31" s="121">
        <f t="shared" si="34"/>
        <v>4</v>
      </c>
      <c r="CX31" s="179">
        <f t="shared" si="35"/>
        <v>0.77</v>
      </c>
      <c r="CY31" s="121">
        <f t="shared" si="36"/>
        <v>3</v>
      </c>
      <c r="CZ31" s="179">
        <f t="shared" si="37"/>
        <v>0.32</v>
      </c>
      <c r="DA31" s="122">
        <v>4</v>
      </c>
      <c r="DB31" s="251">
        <f>0.65+0.12+0+0</f>
        <v>0.77</v>
      </c>
      <c r="DC31" s="122">
        <v>3</v>
      </c>
      <c r="DD31" s="251">
        <f>0.11+0.01+0.2</f>
        <v>0.32</v>
      </c>
      <c r="DE31" s="121">
        <v>0</v>
      </c>
      <c r="DF31" s="121">
        <v>0</v>
      </c>
      <c r="DG31" s="121">
        <v>0</v>
      </c>
      <c r="DH31" s="121">
        <v>0</v>
      </c>
      <c r="DI31" s="122">
        <v>0</v>
      </c>
      <c r="DJ31" s="122">
        <v>0</v>
      </c>
      <c r="DK31" s="122">
        <v>0</v>
      </c>
      <c r="DL31" s="122">
        <v>0</v>
      </c>
      <c r="DM31" s="187" t="s">
        <v>20</v>
      </c>
      <c r="DN31" s="181" t="s">
        <v>20</v>
      </c>
      <c r="DO31" s="279" t="s">
        <v>32</v>
      </c>
      <c r="DP31" s="189" t="s">
        <v>20</v>
      </c>
      <c r="DQ31" s="122">
        <f t="shared" si="38"/>
        <v>100</v>
      </c>
      <c r="DR31" s="122">
        <f t="shared" si="39"/>
        <v>105.47945205479452</v>
      </c>
      <c r="DS31" s="122">
        <f t="shared" si="68"/>
        <v>100</v>
      </c>
      <c r="DT31" s="122">
        <f t="shared" si="69"/>
        <v>80</v>
      </c>
      <c r="DU31" s="122">
        <f t="shared" si="40"/>
        <v>100</v>
      </c>
      <c r="DV31" s="122">
        <f t="shared" si="41"/>
        <v>105.47945205479452</v>
      </c>
      <c r="DW31" s="122">
        <f t="shared" si="70"/>
        <v>100</v>
      </c>
      <c r="DX31" s="122">
        <f t="shared" si="71"/>
        <v>80</v>
      </c>
      <c r="DY31" s="122"/>
      <c r="DZ31" s="122"/>
      <c r="EA31" s="122"/>
      <c r="EB31" s="122"/>
      <c r="EC31" s="122"/>
      <c r="ED31" s="122"/>
      <c r="EE31" s="122"/>
      <c r="EF31" s="122"/>
      <c r="EG31" s="6"/>
      <c r="EH31" s="6"/>
      <c r="EI31" s="200" t="s">
        <v>32</v>
      </c>
      <c r="EJ31" s="121">
        <f t="shared" si="42"/>
        <v>2</v>
      </c>
      <c r="EK31" s="179">
        <f t="shared" si="43"/>
        <v>0.53</v>
      </c>
      <c r="EL31" s="121">
        <f t="shared" si="44"/>
        <v>5</v>
      </c>
      <c r="EM31" s="179">
        <f t="shared" si="45"/>
        <v>1.2000000000000002</v>
      </c>
      <c r="EN31" s="122">
        <v>2</v>
      </c>
      <c r="EO31" s="251">
        <f>0.53</f>
        <v>0.53</v>
      </c>
      <c r="EP31" s="122">
        <v>5</v>
      </c>
      <c r="EQ31" s="251">
        <f>0.74+0.19+0.11+0.03+0.13</f>
        <v>1.2000000000000002</v>
      </c>
      <c r="ER31" s="121">
        <v>0</v>
      </c>
      <c r="ES31" s="121">
        <v>0</v>
      </c>
      <c r="ET31" s="121">
        <v>0</v>
      </c>
      <c r="EU31" s="121">
        <v>0</v>
      </c>
      <c r="EV31" s="122">
        <v>0</v>
      </c>
      <c r="EW31" s="122">
        <v>0</v>
      </c>
      <c r="EX31" s="122">
        <v>0</v>
      </c>
      <c r="EY31" s="122">
        <v>0</v>
      </c>
      <c r="EZ31" s="187" t="s">
        <v>20</v>
      </c>
      <c r="FA31" s="181" t="s">
        <v>20</v>
      </c>
      <c r="FB31" s="189" t="s">
        <v>20</v>
      </c>
      <c r="FC31" s="121">
        <f t="shared" si="46"/>
        <v>50</v>
      </c>
      <c r="FD31" s="121">
        <f t="shared" si="72"/>
        <v>68.83116883116884</v>
      </c>
      <c r="FE31" s="121">
        <f t="shared" si="73"/>
        <v>166.66666666666669</v>
      </c>
      <c r="FF31" s="121">
        <f t="shared" si="74"/>
        <v>375.00000000000006</v>
      </c>
      <c r="FG31" s="121">
        <f t="shared" si="47"/>
        <v>50</v>
      </c>
      <c r="FH31" s="121">
        <f t="shared" si="75"/>
        <v>68.83116883116884</v>
      </c>
      <c r="FI31" s="121">
        <f t="shared" si="76"/>
        <v>166.66666666666669</v>
      </c>
      <c r="FJ31" s="121">
        <f t="shared" si="77"/>
        <v>375.00000000000006</v>
      </c>
      <c r="FK31" s="121"/>
      <c r="FL31" s="121"/>
      <c r="FM31" s="121"/>
      <c r="FN31" s="121"/>
      <c r="FO31" s="121"/>
      <c r="FP31" s="121"/>
      <c r="FQ31" s="121" t="e">
        <f t="shared" si="48"/>
        <v>#DIV/0!</v>
      </c>
      <c r="FR31" s="121" t="e">
        <f t="shared" si="49"/>
        <v>#DIV/0!</v>
      </c>
      <c r="FS31" s="6"/>
      <c r="FT31" s="281"/>
    </row>
    <row r="32" spans="1:176" ht="24" customHeight="1" thickBot="1">
      <c r="A32" s="56" t="s">
        <v>33</v>
      </c>
      <c r="B32" s="44" t="s">
        <v>20</v>
      </c>
      <c r="C32" s="143">
        <f t="shared" si="9"/>
        <v>1</v>
      </c>
      <c r="D32" s="201">
        <f t="shared" si="10"/>
        <v>0.251</v>
      </c>
      <c r="E32" s="143">
        <f t="shared" si="11"/>
        <v>0</v>
      </c>
      <c r="F32" s="143">
        <f t="shared" si="12"/>
        <v>0</v>
      </c>
      <c r="G32" s="143">
        <v>1</v>
      </c>
      <c r="H32" s="201">
        <v>0.251</v>
      </c>
      <c r="I32" s="143">
        <v>0</v>
      </c>
      <c r="J32" s="201">
        <v>0</v>
      </c>
      <c r="K32" s="144">
        <v>0</v>
      </c>
      <c r="L32" s="258">
        <v>0</v>
      </c>
      <c r="M32" s="144">
        <v>0</v>
      </c>
      <c r="N32" s="258">
        <v>0</v>
      </c>
      <c r="O32" s="143">
        <v>0</v>
      </c>
      <c r="P32" s="201">
        <v>0</v>
      </c>
      <c r="Q32" s="143">
        <v>0</v>
      </c>
      <c r="R32" s="201">
        <v>0</v>
      </c>
      <c r="S32" s="202" t="s">
        <v>20</v>
      </c>
      <c r="T32" s="203" t="s">
        <v>20</v>
      </c>
      <c r="U32" s="142" t="s">
        <v>20</v>
      </c>
      <c r="V32" s="143">
        <f t="shared" si="13"/>
        <v>1</v>
      </c>
      <c r="W32" s="201">
        <f t="shared" si="13"/>
        <v>0.394</v>
      </c>
      <c r="X32" s="143">
        <f t="shared" si="13"/>
        <v>0</v>
      </c>
      <c r="Y32" s="201">
        <f t="shared" si="13"/>
        <v>0</v>
      </c>
      <c r="Z32" s="143">
        <v>1</v>
      </c>
      <c r="AA32" s="201">
        <v>0.394</v>
      </c>
      <c r="AB32" s="143">
        <v>0</v>
      </c>
      <c r="AC32" s="201">
        <v>0</v>
      </c>
      <c r="AD32" s="144">
        <v>0</v>
      </c>
      <c r="AE32" s="258">
        <v>0</v>
      </c>
      <c r="AF32" s="144">
        <v>0</v>
      </c>
      <c r="AG32" s="258">
        <v>0</v>
      </c>
      <c r="AH32" s="144">
        <v>0</v>
      </c>
      <c r="AI32" s="144">
        <v>0</v>
      </c>
      <c r="AJ32" s="144">
        <v>0</v>
      </c>
      <c r="AK32" s="144">
        <v>0</v>
      </c>
      <c r="AL32" s="202" t="s">
        <v>20</v>
      </c>
      <c r="AM32" s="203" t="s">
        <v>20</v>
      </c>
      <c r="AN32" s="188" t="s">
        <v>33</v>
      </c>
      <c r="AO32" s="204" t="s">
        <v>20</v>
      </c>
      <c r="AP32" s="143">
        <f t="shared" si="50"/>
        <v>100</v>
      </c>
      <c r="AQ32" s="143">
        <f t="shared" si="51"/>
        <v>156.97211155378488</v>
      </c>
      <c r="AR32" s="143" t="e">
        <f t="shared" si="52"/>
        <v>#DIV/0!</v>
      </c>
      <c r="AS32" s="143" t="e">
        <f t="shared" si="53"/>
        <v>#DIV/0!</v>
      </c>
      <c r="AT32" s="144">
        <f t="shared" si="54"/>
        <v>100</v>
      </c>
      <c r="AU32" s="144">
        <f t="shared" si="55"/>
        <v>156.97211155378488</v>
      </c>
      <c r="AV32" s="144" t="e">
        <f t="shared" si="56"/>
        <v>#DIV/0!</v>
      </c>
      <c r="AW32" s="144" t="e">
        <f t="shared" si="57"/>
        <v>#DIV/0!</v>
      </c>
      <c r="AX32" s="144" t="e">
        <f t="shared" si="58"/>
        <v>#DIV/0!</v>
      </c>
      <c r="AY32" s="144" t="e">
        <f t="shared" si="59"/>
        <v>#DIV/0!</v>
      </c>
      <c r="AZ32" s="144" t="e">
        <f t="shared" si="60"/>
        <v>#DIV/0!</v>
      </c>
      <c r="BA32" s="144" t="e">
        <f t="shared" si="61"/>
        <v>#DIV/0!</v>
      </c>
      <c r="BB32" s="144" t="e">
        <f t="shared" si="62"/>
        <v>#DIV/0!</v>
      </c>
      <c r="BC32" s="144" t="e">
        <f t="shared" si="63"/>
        <v>#DIV/0!</v>
      </c>
      <c r="BD32" s="144" t="e">
        <f t="shared" si="64"/>
        <v>#DIV/0!</v>
      </c>
      <c r="BE32" s="144" t="e">
        <f t="shared" si="65"/>
        <v>#DIV/0!</v>
      </c>
      <c r="BF32" s="144" t="e">
        <f t="shared" si="66"/>
        <v>#VALUE!</v>
      </c>
      <c r="BG32" s="205" t="e">
        <f t="shared" si="67"/>
        <v>#VALUE!</v>
      </c>
      <c r="BH32" s="142" t="s">
        <v>20</v>
      </c>
      <c r="BI32" s="206" t="s">
        <v>33</v>
      </c>
      <c r="BJ32" s="143">
        <f t="shared" si="14"/>
        <v>0</v>
      </c>
      <c r="BK32" s="201">
        <f t="shared" si="15"/>
        <v>0</v>
      </c>
      <c r="BL32" s="143">
        <f t="shared" si="16"/>
        <v>1</v>
      </c>
      <c r="BM32" s="201">
        <f t="shared" si="17"/>
        <v>0.08</v>
      </c>
      <c r="BN32" s="143">
        <v>0</v>
      </c>
      <c r="BO32" s="259">
        <v>0</v>
      </c>
      <c r="BP32" s="259">
        <v>1</v>
      </c>
      <c r="BQ32" s="201">
        <v>0.08</v>
      </c>
      <c r="BR32" s="144">
        <v>0</v>
      </c>
      <c r="BS32" s="258">
        <v>0</v>
      </c>
      <c r="BT32" s="144">
        <v>0</v>
      </c>
      <c r="BU32" s="258">
        <v>0</v>
      </c>
      <c r="BV32" s="144">
        <v>0</v>
      </c>
      <c r="BW32" s="144">
        <v>0</v>
      </c>
      <c r="BX32" s="144">
        <v>0</v>
      </c>
      <c r="BY32" s="144">
        <v>0</v>
      </c>
      <c r="BZ32" s="202" t="s">
        <v>20</v>
      </c>
      <c r="CA32" s="203" t="s">
        <v>20</v>
      </c>
      <c r="CB32" s="188" t="s">
        <v>33</v>
      </c>
      <c r="CC32" s="204" t="s">
        <v>20</v>
      </c>
      <c r="CD32" s="122">
        <f t="shared" si="18"/>
        <v>0</v>
      </c>
      <c r="CE32" s="122">
        <f t="shared" si="19"/>
        <v>0</v>
      </c>
      <c r="CF32" s="122" t="e">
        <f t="shared" si="20"/>
        <v>#DIV/0!</v>
      </c>
      <c r="CG32" s="122" t="e">
        <f t="shared" si="21"/>
        <v>#DIV/0!</v>
      </c>
      <c r="CH32" s="122">
        <f t="shared" si="22"/>
        <v>0</v>
      </c>
      <c r="CI32" s="122">
        <f t="shared" si="23"/>
        <v>0</v>
      </c>
      <c r="CJ32" s="122" t="e">
        <f t="shared" si="24"/>
        <v>#DIV/0!</v>
      </c>
      <c r="CK32" s="122" t="e">
        <f t="shared" si="25"/>
        <v>#DIV/0!</v>
      </c>
      <c r="CL32" s="122" t="e">
        <f t="shared" si="26"/>
        <v>#DIV/0!</v>
      </c>
      <c r="CM32" s="122" t="e">
        <f t="shared" si="27"/>
        <v>#DIV/0!</v>
      </c>
      <c r="CN32" s="122" t="e">
        <f t="shared" si="28"/>
        <v>#DIV/0!</v>
      </c>
      <c r="CO32" s="122" t="e">
        <f t="shared" si="29"/>
        <v>#DIV/0!</v>
      </c>
      <c r="CP32" s="122" t="e">
        <f t="shared" si="30"/>
        <v>#DIV/0!</v>
      </c>
      <c r="CQ32" s="122" t="e">
        <f t="shared" si="31"/>
        <v>#DIV/0!</v>
      </c>
      <c r="CR32" s="122" t="e">
        <f t="shared" si="32"/>
        <v>#DIV/0!</v>
      </c>
      <c r="CS32" s="122" t="e">
        <f t="shared" si="33"/>
        <v>#DIV/0!</v>
      </c>
      <c r="CT32" s="122"/>
      <c r="CU32" s="191"/>
      <c r="CV32" s="207" t="s">
        <v>33</v>
      </c>
      <c r="CW32" s="143">
        <f t="shared" si="34"/>
        <v>1</v>
      </c>
      <c r="CX32" s="201">
        <f t="shared" si="35"/>
        <v>0.09</v>
      </c>
      <c r="CY32" s="143">
        <f t="shared" si="36"/>
        <v>0</v>
      </c>
      <c r="CZ32" s="201">
        <f t="shared" si="37"/>
        <v>0</v>
      </c>
      <c r="DA32" s="144">
        <v>1</v>
      </c>
      <c r="DB32" s="258">
        <v>0.09</v>
      </c>
      <c r="DC32" s="144">
        <v>0</v>
      </c>
      <c r="DD32" s="258">
        <v>0</v>
      </c>
      <c r="DE32" s="143">
        <v>0</v>
      </c>
      <c r="DF32" s="143">
        <v>0</v>
      </c>
      <c r="DG32" s="143">
        <v>0</v>
      </c>
      <c r="DH32" s="143">
        <v>0</v>
      </c>
      <c r="DI32" s="144">
        <v>0</v>
      </c>
      <c r="DJ32" s="144">
        <v>0</v>
      </c>
      <c r="DK32" s="144">
        <v>0</v>
      </c>
      <c r="DL32" s="144">
        <v>0</v>
      </c>
      <c r="DM32" s="202" t="s">
        <v>20</v>
      </c>
      <c r="DN32" s="203" t="s">
        <v>20</v>
      </c>
      <c r="DO32" s="275" t="s">
        <v>33</v>
      </c>
      <c r="DP32" s="204" t="s">
        <v>20</v>
      </c>
      <c r="DQ32" s="122"/>
      <c r="DR32" s="122"/>
      <c r="DS32" s="122">
        <f t="shared" si="68"/>
        <v>0</v>
      </c>
      <c r="DT32" s="122">
        <f t="shared" si="69"/>
        <v>0</v>
      </c>
      <c r="DU32" s="122"/>
      <c r="DV32" s="122"/>
      <c r="DW32" s="122">
        <f t="shared" si="70"/>
        <v>0</v>
      </c>
      <c r="DX32" s="122">
        <f t="shared" si="71"/>
        <v>0</v>
      </c>
      <c r="DY32" s="122"/>
      <c r="DZ32" s="122"/>
      <c r="EA32" s="122"/>
      <c r="EB32" s="122"/>
      <c r="EC32" s="122"/>
      <c r="ED32" s="122"/>
      <c r="EE32" s="122"/>
      <c r="EF32" s="122"/>
      <c r="EG32" s="6"/>
      <c r="EH32" s="6"/>
      <c r="EI32" s="207" t="s">
        <v>33</v>
      </c>
      <c r="EJ32" s="143">
        <f t="shared" si="42"/>
        <v>0</v>
      </c>
      <c r="EK32" s="201">
        <f t="shared" si="43"/>
        <v>0</v>
      </c>
      <c r="EL32" s="143">
        <f t="shared" si="44"/>
        <v>1</v>
      </c>
      <c r="EM32" s="201">
        <f t="shared" si="45"/>
        <v>0.5</v>
      </c>
      <c r="EN32" s="144">
        <v>0</v>
      </c>
      <c r="EO32" s="258">
        <v>0</v>
      </c>
      <c r="EP32" s="144">
        <v>1</v>
      </c>
      <c r="EQ32" s="258">
        <v>0.5</v>
      </c>
      <c r="ER32" s="143">
        <v>0</v>
      </c>
      <c r="ES32" s="143">
        <v>0</v>
      </c>
      <c r="ET32" s="143">
        <v>0</v>
      </c>
      <c r="EU32" s="143">
        <v>0</v>
      </c>
      <c r="EV32" s="144">
        <v>0</v>
      </c>
      <c r="EW32" s="144">
        <v>0</v>
      </c>
      <c r="EX32" s="144">
        <v>0</v>
      </c>
      <c r="EY32" s="144">
        <v>0</v>
      </c>
      <c r="EZ32" s="202" t="s">
        <v>20</v>
      </c>
      <c r="FA32" s="203" t="s">
        <v>20</v>
      </c>
      <c r="FB32" s="204" t="s">
        <v>20</v>
      </c>
      <c r="FC32" s="143">
        <f t="shared" si="46"/>
        <v>0</v>
      </c>
      <c r="FD32" s="143">
        <f t="shared" si="72"/>
        <v>0</v>
      </c>
      <c r="FE32" s="143"/>
      <c r="FF32" s="143"/>
      <c r="FG32" s="143">
        <f t="shared" si="47"/>
        <v>0</v>
      </c>
      <c r="FH32" s="143">
        <f t="shared" si="75"/>
        <v>0</v>
      </c>
      <c r="FI32" s="143"/>
      <c r="FJ32" s="143"/>
      <c r="FK32" s="143"/>
      <c r="FL32" s="143"/>
      <c r="FM32" s="143"/>
      <c r="FN32" s="143"/>
      <c r="FO32" s="143"/>
      <c r="FP32" s="143"/>
      <c r="FQ32" s="143" t="e">
        <f t="shared" si="48"/>
        <v>#DIV/0!</v>
      </c>
      <c r="FR32" s="143" t="e">
        <f t="shared" si="49"/>
        <v>#DIV/0!</v>
      </c>
      <c r="FS32" s="34"/>
      <c r="FT32" s="282"/>
    </row>
    <row r="33" spans="1:62" ht="9.75">
      <c r="A33" s="48"/>
      <c r="B33" s="59"/>
      <c r="C33" s="59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1:62" ht="9.75">
      <c r="A34" s="52"/>
      <c r="B34" s="59"/>
      <c r="C34" s="59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1:62" ht="9.75">
      <c r="A35" s="52"/>
      <c r="B35" s="59"/>
      <c r="C35" s="59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1:62" ht="9.75">
      <c r="A36" s="52"/>
      <c r="B36" s="59"/>
      <c r="C36" s="59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</row>
    <row r="37" spans="1:62" ht="9.75">
      <c r="A37" s="52"/>
      <c r="B37" s="59"/>
      <c r="C37" s="59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</row>
    <row r="38" spans="1:62" ht="9.75">
      <c r="A38" s="52"/>
      <c r="B38" s="59"/>
      <c r="C38" s="59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</row>
    <row r="39" spans="1:62" ht="9.75">
      <c r="A39" s="52"/>
      <c r="B39" s="59"/>
      <c r="C39" s="59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</row>
    <row r="40" spans="1:62" ht="9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</row>
    <row r="41" spans="1:62" ht="9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  <row r="42" spans="1:62" ht="9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</row>
    <row r="43" spans="1:62" ht="9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</row>
    <row r="44" spans="1:62" ht="9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</row>
    <row r="45" spans="1:62" ht="9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ht="9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ht="9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</row>
    <row r="48" spans="1:62" ht="9.7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</row>
    <row r="49" spans="1:62" ht="9.7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</row>
    <row r="50" spans="1:62" ht="9.7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</row>
  </sheetData>
  <sheetProtection/>
  <mergeCells count="77">
    <mergeCell ref="CP6:CS6"/>
    <mergeCell ref="BH4:CA4"/>
    <mergeCell ref="CC4:CU4"/>
    <mergeCell ref="BH5:BH6"/>
    <mergeCell ref="CC5:CC6"/>
    <mergeCell ref="BJ5:BM6"/>
    <mergeCell ref="BZ5:CA6"/>
    <mergeCell ref="CD5:CG6"/>
    <mergeCell ref="CH5:CS5"/>
    <mergeCell ref="CT5:CU6"/>
    <mergeCell ref="BF5:BG6"/>
    <mergeCell ref="BV6:BY6"/>
    <mergeCell ref="CH6:CK6"/>
    <mergeCell ref="BR6:BU6"/>
    <mergeCell ref="CL6:CO6"/>
    <mergeCell ref="AP5:AS6"/>
    <mergeCell ref="AT5:BE5"/>
    <mergeCell ref="AT6:AW6"/>
    <mergeCell ref="BB6:BE6"/>
    <mergeCell ref="DI6:DL6"/>
    <mergeCell ref="DU6:DX6"/>
    <mergeCell ref="DY6:EB6"/>
    <mergeCell ref="DM5:DN6"/>
    <mergeCell ref="DP5:DP6"/>
    <mergeCell ref="DQ5:DT6"/>
    <mergeCell ref="DU5:EF5"/>
    <mergeCell ref="EC6:EF6"/>
    <mergeCell ref="B5:B6"/>
    <mergeCell ref="O6:R6"/>
    <mergeCell ref="U4:AM4"/>
    <mergeCell ref="BN6:BQ6"/>
    <mergeCell ref="CV4:DN4"/>
    <mergeCell ref="AH6:AK6"/>
    <mergeCell ref="U5:U6"/>
    <mergeCell ref="G6:J6"/>
    <mergeCell ref="AD6:AG6"/>
    <mergeCell ref="DE6:DH6"/>
    <mergeCell ref="DP4:EH4"/>
    <mergeCell ref="CW5:CZ6"/>
    <mergeCell ref="DA5:DL5"/>
    <mergeCell ref="EG5:EH6"/>
    <mergeCell ref="DA6:DD6"/>
    <mergeCell ref="C5:F6"/>
    <mergeCell ref="G5:P5"/>
    <mergeCell ref="S5:T6"/>
    <mergeCell ref="V5:Y6"/>
    <mergeCell ref="K6:N6"/>
    <mergeCell ref="Z6:AC6"/>
    <mergeCell ref="AO4:BG4"/>
    <mergeCell ref="AX6:BA6"/>
    <mergeCell ref="A1:CS1"/>
    <mergeCell ref="B2:CS2"/>
    <mergeCell ref="B3:CS3"/>
    <mergeCell ref="AO5:AO6"/>
    <mergeCell ref="BN5:BY5"/>
    <mergeCell ref="Z5:AK5"/>
    <mergeCell ref="B4:T4"/>
    <mergeCell ref="FO6:FR6"/>
    <mergeCell ref="A2:A6"/>
    <mergeCell ref="AL5:AM6"/>
    <mergeCell ref="EI4:FA4"/>
    <mergeCell ref="EJ5:EM6"/>
    <mergeCell ref="EN5:EY5"/>
    <mergeCell ref="EZ5:FA6"/>
    <mergeCell ref="EN6:EQ6"/>
    <mergeCell ref="ER6:EU6"/>
    <mergeCell ref="EV6:EY6"/>
    <mergeCell ref="CV1:FP1"/>
    <mergeCell ref="CV2:FP2"/>
    <mergeCell ref="CV3:FP3"/>
    <mergeCell ref="FB4:FT4"/>
    <mergeCell ref="FB5:FB6"/>
    <mergeCell ref="FC5:FF6"/>
    <mergeCell ref="FG5:FR5"/>
    <mergeCell ref="FS5:FT6"/>
    <mergeCell ref="FG6:FJ6"/>
    <mergeCell ref="FK6:FN6"/>
  </mergeCells>
  <printOptions/>
  <pageMargins left="0.2362204724409449" right="0.1968503937007874" top="0.33" bottom="0.2755905511811024" header="0.31496062992125984" footer="0.31496062992125984"/>
  <pageSetup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KSR-1</dc:creator>
  <cp:keywords/>
  <dc:description/>
  <cp:lastModifiedBy>KSR-1</cp:lastModifiedBy>
  <cp:lastPrinted>2023-07-11T09:17:10Z</cp:lastPrinted>
  <dcterms:created xsi:type="dcterms:W3CDTF">2020-04-09T06:34:05Z</dcterms:created>
  <dcterms:modified xsi:type="dcterms:W3CDTF">2023-07-24T11:30:37Z</dcterms:modified>
  <cp:category/>
  <cp:version/>
  <cp:contentType/>
  <cp:contentStatus/>
</cp:coreProperties>
</file>